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charts/chartEx1.xml" ContentType="application/vnd.ms-office.chartex+xml"/>
  <Override PartName="/xl/charts/style41.xml" ContentType="application/vnd.ms-office.chartstyle+xml"/>
  <Override PartName="/xl/charts/colors41.xml" ContentType="application/vnd.ms-office.chartcolorstyle+xml"/>
  <Override PartName="/xl/charts/chart41.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1.xml" ContentType="application/vnd.openxmlformats-officedocument.themeOverride+xml"/>
  <Override PartName="/xl/charts/chartEx2.xml" ContentType="application/vnd.ms-office.chartex+xml"/>
  <Override PartName="/xl/charts/style43.xml" ContentType="application/vnd.ms-office.chartstyle+xml"/>
  <Override PartName="/xl/charts/colors43.xml" ContentType="application/vnd.ms-office.chartcolorstyle+xml"/>
  <Override PartName="/xl/drawings/drawing10.xml" ContentType="application/vnd.openxmlformats-officedocument.drawing+xml"/>
  <Override PartName="/xl/comments7.xml" ContentType="application/vnd.openxmlformats-officedocument.spreadsheetml.comments+xml"/>
  <Override PartName="/xl/charts/chart42.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3.xml" ContentType="application/vnd.openxmlformats-officedocument.themeOverride+xml"/>
  <Override PartName="/xl/drawings/drawing11.xml" ContentType="application/vnd.openxmlformats-officedocument.drawing+xml"/>
  <Override PartName="/xl/comments8.xml" ContentType="application/vnd.openxmlformats-officedocument.spreadsheetml.comments+xml"/>
  <Override PartName="/xl/charts/chart44.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4.xml" ContentType="application/vnd.openxmlformats-officedocument.themeOverride+xml"/>
  <Override PartName="/xl/drawings/drawing12.xml" ContentType="application/vnd.openxmlformats-officedocument.drawing+xml"/>
  <Override PartName="/xl/comments9.xml" ContentType="application/vnd.openxmlformats-officedocument.spreadsheetml.comments+xml"/>
  <Override PartName="/xl/charts/chart45.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6.xml" ContentType="application/vnd.openxmlformats-officedocument.themeOverride+xml"/>
  <Override PartName="/xl/drawings/drawing13.xml" ContentType="application/vnd.openxmlformats-officedocument.drawing+xml"/>
  <Override PartName="/xl/charts/chart47.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7.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ewstreet1385.sharepoint.com/sites/Corp/Shared/TELECOMS/STOCKS/EMEA/VEON/02 Model/"/>
    </mc:Choice>
  </mc:AlternateContent>
  <xr:revisionPtr revIDLastSave="59" documentId="13_ncr:1_{D7841724-1900-4FC2-8B2F-D58F5839BA17}" xr6:coauthVersionLast="47" xr6:coauthVersionMax="47" xr10:uidLastSave="{7CA9BC21-C8E1-404E-BA95-5CF838544B89}"/>
  <bookViews>
    <workbookView xWindow="28680" yWindow="-120" windowWidth="29040" windowHeight="15720" firstSheet="1" activeTab="1" xr2:uid="{DF00693A-2325-40E0-82F2-49482B329B22}"/>
  </bookViews>
  <sheets>
    <sheet name="__FDSCACHE__" sheetId="14" state="veryHidden" r:id="rId1"/>
    <sheet name="Cover" sheetId="18" r:id="rId2"/>
    <sheet name="Summary" sheetId="2" r:id="rId3"/>
    <sheet name="Model" sheetId="5" r:id="rId4"/>
    <sheet name="Valuation" sheetId="7" r:id="rId5"/>
    <sheet name="Inputs" sheetId="1" r:id="rId6"/>
    <sheet name="Interim - WIP" sheetId="22" r:id="rId7"/>
    <sheet name="Anna" sheetId="19" r:id="rId8"/>
    <sheet name="Initiation charts" sheetId="8" r:id="rId9"/>
    <sheet name="Business structure" sheetId="16" r:id="rId10"/>
    <sheet name="Questions" sheetId="12" r:id="rId11"/>
    <sheet name="Uklon" sheetId="10" r:id="rId12"/>
    <sheet name="Workings" sheetId="11" r:id="rId13"/>
    <sheet name="Spectrum" sheetId="15" r:id="rId14"/>
    <sheet name="Price plans" sheetId="17" r:id="rId15"/>
    <sheet name="Towers" sheetId="21" r:id="rId16"/>
    <sheet name="Comps" sheetId="13" r:id="rId17"/>
    <sheet name="FX" sheetId="20" r:id="rId18"/>
  </sheets>
  <externalReferences>
    <externalReference r:id="rId19"/>
    <externalReference r:id="rId20"/>
  </externalReferences>
  <definedNames>
    <definedName name="__FDS_HYPERLINK_TOGGLE_STATE__" hidden="1">"ON"</definedName>
    <definedName name="_bdm.A5B659AE10F844D28955D8E434AAE2BC.edm" hidden="1">#REF!</definedName>
    <definedName name="_xlnm._FilterDatabase" localSheetId="16" hidden="1">Comps!$BJ$9:$BK$32</definedName>
    <definedName name="_xlnm._FilterDatabase" localSheetId="8" hidden="1">'Initiation charts'!$P$230:$Q$235</definedName>
    <definedName name="_Key1" localSheetId="1" hidden="1">#REF!</definedName>
    <definedName name="_Key1" hidden="1">#REF!</definedName>
    <definedName name="_Order1" hidden="1">255</definedName>
    <definedName name="_Sort" localSheetId="1" hidden="1">#REF!</definedName>
    <definedName name="_Sort" hidden="1">#REF!</definedName>
    <definedName name="_xlchart.v1.0" hidden="1">Workings!$F$104:$F$108</definedName>
    <definedName name="_xlchart.v1.1" hidden="1">Workings!$G$104:$G$108</definedName>
    <definedName name="_xlchart.v1.2" hidden="1">Workings!$B$112:$B$121</definedName>
    <definedName name="_xlchart.v1.3" hidden="1">Workings!$C$112:$C$121</definedName>
    <definedName name="aaa" localSheetId="7" hidden="1">{#N/A,#N/A,FALSE,"Denmark";#N/A,#N/A,FALSE,"Denmark"}</definedName>
    <definedName name="aaa" localSheetId="15" hidden="1">{#N/A,#N/A,FALSE,"Denmark";#N/A,#N/A,FALSE,"Denmark"}</definedName>
    <definedName name="aaa" hidden="1">{#N/A,#N/A,FALSE,"Denmark";#N/A,#N/A,FALSE,"Denmark"}</definedName>
    <definedName name="anscount" hidden="1">1</definedName>
    <definedName name="gls_ACT_EST_ROW" hidden="1">#REF!</definedName>
    <definedName name="gls_ACT_FORM_OFFSET" hidden="1">#REF!</definedName>
    <definedName name="gls_AnalystEmpNoHeading" hidden="1">#REF!</definedName>
    <definedName name="gls_AnalystNameHeading" hidden="1">#REF!</definedName>
    <definedName name="gls_EST_FORM_OFFSET" hidden="1">#REF!</definedName>
    <definedName name="gls_EXTERNAL_COL_REF" hidden="1">#REF!</definedName>
    <definedName name="gls_FIRST_ITEM" hidden="1">#REF!</definedName>
    <definedName name="gls_FIRST_PK" hidden="1">#REF!</definedName>
    <definedName name="gls_FIRST_ROWMULT" hidden="1">#REF!</definedName>
    <definedName name="gls_FIRST_UNITS" hidden="1">#REF!</definedName>
    <definedName name="gls_FIXED_NAMES" hidden="1">#REF!</definedName>
    <definedName name="gls_FONT_STATUS" hidden="1">#REF!</definedName>
    <definedName name="gls_GenAccountingConvention" hidden="1">#REF!</definedName>
    <definedName name="gls_GenCompany" hidden="1">#REF!</definedName>
    <definedName name="gls_GenCompanyInfo" hidden="1">#REF!</definedName>
    <definedName name="gls_GenCountry" hidden="1">#REF!</definedName>
    <definedName name="gls_GenCurrency" hidden="1">#REF!</definedName>
    <definedName name="gls_GenCurrencyMultiplier" hidden="1">#REF!</definedName>
    <definedName name="gls_GenEnterCompInfo" hidden="1">#REF!</definedName>
    <definedName name="gls_GenLastPriceTargetRevised" hidden="1">#REF!</definedName>
    <definedName name="gls_GenLastPublished" hidden="1">#REF!</definedName>
    <definedName name="gls_GenLastRecRevised" hidden="1">#REF!</definedName>
    <definedName name="gls_GenMainInfo" hidden="1">#REF!</definedName>
    <definedName name="gls_GenProfile" hidden="1">#REF!</definedName>
    <definedName name="gls_GenRecComment" hidden="1">#REF!</definedName>
    <definedName name="gls_GenSheetVersion" hidden="1">#REF!</definedName>
    <definedName name="gls_genStockCore" hidden="1">#REF!</definedName>
    <definedName name="gls_genStockRec" hidden="1">#REF!</definedName>
    <definedName name="gls_GenTargetCurrency" hidden="1">#REF!</definedName>
    <definedName name="gls_IssuedStockClassHeading" hidden="1">#REF!</definedName>
    <definedName name="gls_IssuedStockCodeHeading" hidden="1">#REF!</definedName>
    <definedName name="gls_IssuedStockFreeFloatHeading" hidden="1">#REF!</definedName>
    <definedName name="gls_KEY_DATA" hidden="1">#REF!</definedName>
    <definedName name="gls_KEY_VALUE" hidden="1">#REF!</definedName>
    <definedName name="gls_PERIOD_CODE" hidden="1">#REF!</definedName>
    <definedName name="gls_PERIOD_INDICATOR" hidden="1">#REF!</definedName>
    <definedName name="gls_PERIOD_PARENT_OR_CONSOL" hidden="1">#REF!</definedName>
    <definedName name="gls_PERIOD_TYPE" hidden="1">#REF!</definedName>
    <definedName name="gls_PrincipalStockClass" hidden="1">#REF!</definedName>
    <definedName name="gls_ShareholderClassHeading" hidden="1">#REF!</definedName>
    <definedName name="gls_ShareholderHolding" hidden="1">#REF!</definedName>
    <definedName name="gls_ShareholderHoldingHeading" hidden="1">#REF!</definedName>
    <definedName name="gls_ShareholderName" hidden="1">#REF!</definedName>
    <definedName name="gls_ShareholderNameHeading" hidden="1">#REF!</definedName>
    <definedName name="gls_ShareholdingName" hidden="1">#REF!</definedName>
    <definedName name="gls_SPARE_YEARS" hidden="1">#REF!</definedName>
    <definedName name="gls_START_FORMULA_OVERRIDEABLE" hidden="1">#REF!</definedName>
    <definedName name="gls_START_LOCAL_NAMES" hidden="1">#REF!</definedName>
    <definedName name="gls_START_PERIOD_CURRENCY" hidden="1">#REF!</definedName>
    <definedName name="gls_START_STATUS" hidden="1">#REF!</definedName>
    <definedName name="gls_START_USER_STATUS" hidden="1">#REF!</definedName>
    <definedName name="gls_START_VALIDATION" hidden="1">#REF!</definedName>
    <definedName name="gls_START_WHAT" hidden="1">#REF!</definedName>
    <definedName name="gls_START_YEAR" hidden="1">#REF!</definedName>
    <definedName name="gls_TEMP_PERIOD_CODE" hidden="1">#REF!</definedName>
    <definedName name="gls_YEAR_AE_CONTROL" hidden="1">#REF!</definedName>
    <definedName name="gls_YEAR_END_ROW" hidden="1">#REF!</definedName>
    <definedName name="limcount" hidden="1">1</definedName>
    <definedName name="SecretArchiveNumber" hidden="1">1</definedName>
    <definedName name="sencount" hidden="1">1</definedName>
    <definedName name="wrn.mobile." localSheetId="7" hidden="1">{#N/A,#N/A,FALSE,"Denmark";#N/A,#N/A,FALSE,"Denmark"}</definedName>
    <definedName name="wrn.mobile." localSheetId="15" hidden="1">{#N/A,#N/A,FALSE,"Denmark";#N/A,#N/A,FALSE,"Denmark"}</definedName>
    <definedName name="wrn.mobile." hidden="1">{#N/A,#N/A,FALSE,"Denmark";#N/A,#N/A,FALSE,"Denmark"}</definedName>
    <definedName name="wrn.PandL." localSheetId="7" hidden="1">{"P&amp;L",#N/A,FALSE,"annual"}</definedName>
    <definedName name="wrn.PandL." localSheetId="15" hidden="1">{"P&amp;L",#N/A,FALSE,"annual"}</definedName>
    <definedName name="wrn.PandL." hidden="1">{"P&amp;L",#N/A,FALSE,"annual"}</definedName>
    <definedName name="wrn.Vodafone._.printout." localSheetId="7" hidden="1">{"Groupannual",#N/A,FALSE,"Groupannual";"VodMann",#N/A,FALSE,"VodMann";"Data",#N/A,FALSE,"Data";"Group International",#N/A,FALSE,"Group International";"BellAir",#N/A,FALSE,"BellAir";"DCF sum of parts",#N/A,FALSE,"DCF sum of parts";"licences",#N/A,FALSE,"licences"}</definedName>
    <definedName name="wrn.Vodafone._.printout." localSheetId="1" hidden="1">{"Groupannual",#N/A,FALSE,"Groupannual";"VodMann",#N/A,FALSE,"VodMann";"Data",#N/A,FALSE,"Data";"Group International",#N/A,FALSE,"Group International";"BellAir",#N/A,FALSE,"BellAir";"DCF sum of parts",#N/A,FALSE,"DCF sum of parts";"licences",#N/A,FALSE,"licences"}</definedName>
    <definedName name="wrn.Vodafone._.printout." localSheetId="15" hidden="1">{"Groupannual",#N/A,FALSE,"Groupannual";"VodMann",#N/A,FALSE,"VodMann";"Data",#N/A,FALSE,"Data";"Group International",#N/A,FALSE,"Group International";"BellAir",#N/A,FALSE,"BellAir";"DCF sum of parts",#N/A,FALSE,"DCF sum of parts";"licences",#N/A,FALSE,"licences"}</definedName>
    <definedName name="wrn.Vodafone._.printout." hidden="1">{"Groupannual",#N/A,FALSE,"Groupannual";"VodMann",#N/A,FALSE,"VodMann";"Data",#N/A,FALSE,"Data";"Group International",#N/A,FALSE,"Group International";"BellAir",#N/A,FALSE,"BellAir";"DCF sum of parts",#N/A,FALSE,"DCF sum of parts";"licences",#N/A,FALSE,"licences"}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2" l="1"/>
  <c r="D27" i="2"/>
  <c r="J70" i="22"/>
  <c r="J60" i="22"/>
  <c r="I157" i="22"/>
  <c r="H157" i="22"/>
  <c r="I156" i="22"/>
  <c r="H156" i="22"/>
  <c r="I155" i="22"/>
  <c r="H155" i="22"/>
  <c r="I154" i="22"/>
  <c r="H154" i="22"/>
  <c r="U112" i="22"/>
  <c r="T112" i="22"/>
  <c r="I112" i="22"/>
  <c r="H112" i="22"/>
  <c r="U111" i="22"/>
  <c r="T111" i="22"/>
  <c r="I111" i="22"/>
  <c r="H111" i="22"/>
  <c r="U110" i="22"/>
  <c r="T110" i="22"/>
  <c r="I110" i="22"/>
  <c r="H110" i="22"/>
  <c r="U54" i="22"/>
  <c r="T54" i="22"/>
  <c r="Q54" i="22"/>
  <c r="P54" i="22"/>
  <c r="I54" i="22"/>
  <c r="H54" i="22"/>
  <c r="U53" i="22"/>
  <c r="T53" i="22"/>
  <c r="Q53" i="22"/>
  <c r="P53" i="22"/>
  <c r="I53" i="22"/>
  <c r="H53" i="22"/>
  <c r="U52" i="22"/>
  <c r="T52" i="22"/>
  <c r="Q52" i="22"/>
  <c r="P52" i="22"/>
  <c r="I52" i="22"/>
  <c r="H52" i="22"/>
  <c r="U51" i="22"/>
  <c r="T51" i="22"/>
  <c r="Q51" i="22"/>
  <c r="P51" i="22"/>
  <c r="I51" i="22"/>
  <c r="H51" i="22"/>
  <c r="T50" i="22"/>
  <c r="Q50" i="22"/>
  <c r="P50" i="22"/>
  <c r="I50" i="22"/>
  <c r="H50" i="22"/>
  <c r="U46" i="22"/>
  <c r="U56" i="22" s="1"/>
  <c r="T46" i="22"/>
  <c r="Q46" i="22"/>
  <c r="Q56" i="22" s="1"/>
  <c r="P46" i="22"/>
  <c r="Y43" i="22"/>
  <c r="T39" i="22"/>
  <c r="S39" i="22"/>
  <c r="R39" i="22"/>
  <c r="P39" i="22"/>
  <c r="I39" i="22"/>
  <c r="H39" i="22"/>
  <c r="T38" i="22"/>
  <c r="S38" i="22"/>
  <c r="R38" i="22"/>
  <c r="P38" i="22"/>
  <c r="I38" i="22"/>
  <c r="H38" i="22"/>
  <c r="Y35" i="22"/>
  <c r="U28" i="22"/>
  <c r="U39" i="22" s="1"/>
  <c r="Q28" i="22"/>
  <c r="Q38" i="22" s="1"/>
  <c r="Z20" i="22"/>
  <c r="M3" i="22"/>
  <c r="N3" i="22" s="1"/>
  <c r="F3" i="22"/>
  <c r="G3" i="22" s="1"/>
  <c r="H3" i="22" s="1"/>
  <c r="I3" i="22" s="1"/>
  <c r="J3" i="22" s="1"/>
  <c r="L2" i="22"/>
  <c r="F2" i="22"/>
  <c r="G2" i="22" s="1"/>
  <c r="H2" i="22" s="1"/>
  <c r="I2" i="22" s="1"/>
  <c r="J2" i="22" s="1"/>
  <c r="H72" i="5"/>
  <c r="I72" i="5"/>
  <c r="G72" i="5"/>
  <c r="C62" i="7"/>
  <c r="D63" i="7" s="1"/>
  <c r="U38" i="22" l="1"/>
  <c r="P55" i="22"/>
  <c r="P56" i="22" s="1"/>
  <c r="T55" i="22"/>
  <c r="T56" i="22" s="1"/>
  <c r="H55" i="22"/>
  <c r="I55" i="22"/>
  <c r="O3" i="22"/>
  <c r="N2" i="22"/>
  <c r="Q39" i="22"/>
  <c r="U50" i="22"/>
  <c r="M2" i="22"/>
  <c r="I20" i="8"/>
  <c r="F13" i="11"/>
  <c r="F16" i="11"/>
  <c r="C16" i="11"/>
  <c r="F15" i="11"/>
  <c r="C15" i="11"/>
  <c r="E9" i="11"/>
  <c r="D9" i="11" s="1"/>
  <c r="D10" i="2"/>
  <c r="D29" i="2"/>
  <c r="Z55" i="22" l="1"/>
  <c r="P3" i="22"/>
  <c r="O2" i="22"/>
  <c r="T53" i="1"/>
  <c r="T46" i="1"/>
  <c r="T56" i="1" s="1"/>
  <c r="S46" i="1"/>
  <c r="O46" i="1"/>
  <c r="P51" i="1"/>
  <c r="P52" i="1"/>
  <c r="P53" i="1"/>
  <c r="P54" i="1"/>
  <c r="T28" i="1"/>
  <c r="T38" i="1" s="1"/>
  <c r="P28" i="1"/>
  <c r="P50" i="1" s="1"/>
  <c r="P46" i="1"/>
  <c r="P56" i="1" s="1"/>
  <c r="T51" i="1"/>
  <c r="T52" i="1"/>
  <c r="T54" i="1"/>
  <c r="T110" i="1"/>
  <c r="T111" i="1"/>
  <c r="T112" i="1"/>
  <c r="M386" i="5"/>
  <c r="M385" i="5"/>
  <c r="M389" i="5" s="1"/>
  <c r="J784" i="5" s="1"/>
  <c r="G157" i="11"/>
  <c r="G158" i="11"/>
  <c r="C161" i="11"/>
  <c r="D161" i="11"/>
  <c r="E161" i="11"/>
  <c r="B39" i="13" a="1"/>
  <c r="J38" i="13" a="1"/>
  <c r="G32" i="13" a="1"/>
  <c r="G28" i="13" a="1"/>
  <c r="B21" i="13" a="1"/>
  <c r="B19" i="13" a="1"/>
  <c r="D23" i="13" a="1"/>
  <c r="D25" i="13" a="1"/>
  <c r="B25" i="13" a="1"/>
  <c r="G12" i="13" a="1"/>
  <c r="J14" i="13" a="1"/>
  <c r="J13" i="13" a="1"/>
  <c r="D27" i="13" a="1"/>
  <c r="J39" i="13" a="1"/>
  <c r="B10" i="13" a="1"/>
  <c r="D16" i="13" a="1"/>
  <c r="G29" i="13" a="1"/>
  <c r="D26" i="13" a="1"/>
  <c r="F19" i="13" a="1"/>
  <c r="D39" i="13" a="1"/>
  <c r="E11" i="13" a="1"/>
  <c r="D21" i="13" a="1"/>
  <c r="E40" i="13" a="1"/>
  <c r="F26" i="13" a="1"/>
  <c r="G39" i="13" a="1"/>
  <c r="F10" i="13" a="1"/>
  <c r="B28" i="13" a="1"/>
  <c r="G33" i="13" a="1"/>
  <c r="F20" i="13" a="1"/>
  <c r="B12" i="13" a="1"/>
  <c r="J29" i="13" a="1"/>
  <c r="D38" i="13" a="1"/>
  <c r="J20" i="13" a="1"/>
  <c r="E22" i="13" a="1"/>
  <c r="D17" i="13" a="1"/>
  <c r="F13" i="13" a="1"/>
  <c r="G40" i="13" a="1"/>
  <c r="F31" i="13" a="1"/>
  <c r="D20" i="13" a="1"/>
  <c r="F25" i="13" a="1"/>
  <c r="F12" i="13" a="1"/>
  <c r="F16" i="13" a="1"/>
  <c r="E28" i="13" a="1"/>
  <c r="G26" i="13" a="1"/>
  <c r="G14" i="13" a="1"/>
  <c r="D41" i="13" a="1"/>
  <c r="G30" i="13" a="1"/>
  <c r="E33" i="13" a="1"/>
  <c r="F17" i="13" a="1"/>
  <c r="D13" i="13" a="1"/>
  <c r="F28" i="13" a="1"/>
  <c r="G10" i="13" a="1"/>
  <c r="F38" i="13" a="1"/>
  <c r="E21" i="13" a="1"/>
  <c r="G16" i="13" a="1"/>
  <c r="B23" i="13" a="1"/>
  <c r="B22" i="13" a="1"/>
  <c r="J10" i="13" a="1"/>
  <c r="J15" i="13" a="1"/>
  <c r="B38" i="13" a="1"/>
  <c r="B20" i="13" a="1"/>
  <c r="G41" i="13" a="1"/>
  <c r="J22" i="13" a="1"/>
  <c r="G19" i="13" a="1"/>
  <c r="E17" i="13" a="1"/>
  <c r="D22" i="13" a="1"/>
  <c r="J31" i="13" a="1"/>
  <c r="D31" i="13" a="1"/>
  <c r="J32" i="13" a="1"/>
  <c r="J23" i="13" a="1"/>
  <c r="J26" i="13" a="1"/>
  <c r="E38" i="13" a="1"/>
  <c r="G25" i="13" a="1"/>
  <c r="F22" i="13" a="1"/>
  <c r="E41" i="13" a="1"/>
  <c r="B31" i="13" a="1"/>
  <c r="B16" i="13" a="1"/>
  <c r="E39" i="13" a="1"/>
  <c r="J11" i="13" a="1"/>
  <c r="G15" i="13" a="1"/>
  <c r="F30" i="13" a="1"/>
  <c r="G27" i="13" a="1"/>
  <c r="B18" i="13" a="1"/>
  <c r="D12" i="13" a="1"/>
  <c r="F32" i="13" a="1"/>
  <c r="D24" i="13" a="1"/>
  <c r="J27" i="13" a="1"/>
  <c r="D10" i="13" a="1"/>
  <c r="F39" i="13" a="1"/>
  <c r="D14" i="13" a="1"/>
  <c r="J24" i="13" a="1"/>
  <c r="G22" i="13" a="1"/>
  <c r="J12" i="13" a="1"/>
  <c r="B17" i="13" a="1"/>
  <c r="E32" i="13" a="1"/>
  <c r="J33" i="13" a="1"/>
  <c r="E25" i="13" a="1"/>
  <c r="B26" i="13" a="1"/>
  <c r="G11" i="13" a="1"/>
  <c r="G20" i="13" a="1"/>
  <c r="F18" i="13" a="1"/>
  <c r="J28" i="13" a="1"/>
  <c r="D15" i="13" a="1"/>
  <c r="B15" i="13" a="1"/>
  <c r="E10" i="13" a="1"/>
  <c r="J19" i="13" a="1"/>
  <c r="J25" i="13" a="1"/>
  <c r="D18" i="13" a="1"/>
  <c r="E18" i="13" a="1"/>
  <c r="E24" i="13" a="1"/>
  <c r="J16" i="13" a="1"/>
  <c r="B33" i="13" a="1"/>
  <c r="G13" i="13" a="1"/>
  <c r="D30" i="13" a="1"/>
  <c r="E29" i="13" a="1"/>
  <c r="J21" i="13" a="1"/>
  <c r="D40" i="13" a="1"/>
  <c r="F11" i="13" a="1"/>
  <c r="B41" i="13" a="1"/>
  <c r="E20" i="13" a="1"/>
  <c r="D28" i="13" a="1"/>
  <c r="J40" i="13" a="1"/>
  <c r="B40" i="13" a="1"/>
  <c r="F40" i="13" a="1"/>
  <c r="G23" i="13" a="1"/>
  <c r="E31" i="13" a="1"/>
  <c r="J18" i="13" a="1"/>
  <c r="G31" i="13" a="1"/>
  <c r="F41" i="13" a="1"/>
  <c r="G24" i="13" a="1"/>
  <c r="F15" i="13" a="1"/>
  <c r="D19" i="13" a="1"/>
  <c r="E23" i="13" a="1"/>
  <c r="G21" i="13" a="1"/>
  <c r="J41" i="13" a="1"/>
  <c r="D29" i="13" a="1"/>
  <c r="F21" i="13" a="1"/>
  <c r="F23" i="13" a="1"/>
  <c r="E19" i="13" a="1"/>
  <c r="E16" i="13" a="1"/>
  <c r="E26" i="13" a="1"/>
  <c r="J17" i="13" a="1"/>
  <c r="E13" i="13" a="1"/>
  <c r="G17" i="13" a="1"/>
  <c r="E14" i="13" a="1"/>
  <c r="B11" i="13" a="1"/>
  <c r="D11" i="13" a="1"/>
  <c r="B29" i="13" a="1"/>
  <c r="J30" i="13" a="1"/>
  <c r="D32" i="13" a="1"/>
  <c r="F29" i="13" a="1"/>
  <c r="E15" i="13" a="1"/>
  <c r="B30" i="13" a="1"/>
  <c r="G18" i="13" a="1"/>
  <c r="F27" i="13" a="1"/>
  <c r="B32" i="13" a="1"/>
  <c r="B27" i="13" a="1"/>
  <c r="D33" i="13" a="1"/>
  <c r="B24" i="13" a="1"/>
  <c r="F14" i="13" a="1"/>
  <c r="B13" i="13" a="1"/>
  <c r="F33" i="13" a="1"/>
  <c r="B14" i="13" a="1"/>
  <c r="E27" i="13" a="1"/>
  <c r="E30" i="13" a="1"/>
  <c r="E12" i="13" a="1"/>
  <c r="G38" i="13" a="1"/>
  <c r="F24" i="13" a="1"/>
  <c r="Q3" i="22" l="1"/>
  <c r="P2" i="22"/>
  <c r="T50" i="1"/>
  <c r="T39" i="1"/>
  <c r="G27" i="13"/>
  <c r="D17" i="13"/>
  <c r="D24" i="13"/>
  <c r="J12" i="13"/>
  <c r="F28" i="13"/>
  <c r="B13" i="13"/>
  <c r="B20" i="13"/>
  <c r="E14" i="13"/>
  <c r="E18" i="13"/>
  <c r="B10" i="13"/>
  <c r="E10" i="13"/>
  <c r="E21" i="13"/>
  <c r="D22" i="13"/>
  <c r="J22" i="13"/>
  <c r="B26" i="13"/>
  <c r="D40" i="13"/>
  <c r="J26" i="13"/>
  <c r="D21" i="13"/>
  <c r="G31" i="13"/>
  <c r="D32" i="13"/>
  <c r="G12" i="13"/>
  <c r="G19" i="13"/>
  <c r="F24" i="13"/>
  <c r="E25" i="13"/>
  <c r="E39" i="13"/>
  <c r="B33" i="13"/>
  <c r="G16" i="13"/>
  <c r="J40" i="13"/>
  <c r="E27" i="13"/>
  <c r="J28" i="13"/>
  <c r="F30" i="13"/>
  <c r="G33" i="13"/>
  <c r="B11" i="13"/>
  <c r="B24" i="13"/>
  <c r="B38" i="13"/>
  <c r="D11" i="13"/>
  <c r="D15" i="13"/>
  <c r="E24" i="13"/>
  <c r="J25" i="13"/>
  <c r="F27" i="13"/>
  <c r="G30" i="13"/>
  <c r="D39" i="13"/>
  <c r="B12" i="13"/>
  <c r="B25" i="13"/>
  <c r="D10" i="13"/>
  <c r="E11" i="13"/>
  <c r="D14" i="13"/>
  <c r="D18" i="13"/>
  <c r="J19" i="13"/>
  <c r="F21" i="13"/>
  <c r="G24" i="13"/>
  <c r="D29" i="13"/>
  <c r="E32" i="13"/>
  <c r="J33" i="13"/>
  <c r="F39" i="13"/>
  <c r="B17" i="13"/>
  <c r="B27" i="13"/>
  <c r="F10" i="13"/>
  <c r="J11" i="13"/>
  <c r="E13" i="13"/>
  <c r="F14" i="13"/>
  <c r="J15" i="13"/>
  <c r="E17" i="13"/>
  <c r="E20" i="13"/>
  <c r="J21" i="13"/>
  <c r="F23" i="13"/>
  <c r="G26" i="13"/>
  <c r="D31" i="13"/>
  <c r="E38" i="13"/>
  <c r="J39" i="13"/>
  <c r="G41" i="13"/>
  <c r="B18" i="13"/>
  <c r="B31" i="13"/>
  <c r="G10" i="13"/>
  <c r="F13" i="13"/>
  <c r="J14" i="13"/>
  <c r="F17" i="13"/>
  <c r="J18" i="13"/>
  <c r="F20" i="13"/>
  <c r="G23" i="13"/>
  <c r="D28" i="13"/>
  <c r="E31" i="13"/>
  <c r="J32" i="13"/>
  <c r="F38" i="13"/>
  <c r="B19" i="13"/>
  <c r="B32" i="13"/>
  <c r="G13" i="13"/>
  <c r="F16" i="13"/>
  <c r="G17" i="13"/>
  <c r="G20" i="13"/>
  <c r="D25" i="13"/>
  <c r="E28" i="13"/>
  <c r="J29" i="13"/>
  <c r="F31" i="13"/>
  <c r="G38" i="13"/>
  <c r="F41" i="13"/>
  <c r="J16" i="13"/>
  <c r="G39" i="13"/>
  <c r="B14" i="13"/>
  <c r="B39" i="13"/>
  <c r="E22" i="13"/>
  <c r="D26" i="13"/>
  <c r="E29" i="13"/>
  <c r="J41" i="13"/>
  <c r="B15" i="13"/>
  <c r="B22" i="13"/>
  <c r="B29" i="13"/>
  <c r="B40" i="13"/>
  <c r="G11" i="13"/>
  <c r="E12" i="13"/>
  <c r="J13" i="13"/>
  <c r="F15" i="13"/>
  <c r="D16" i="13"/>
  <c r="G18" i="13"/>
  <c r="E19" i="13"/>
  <c r="J20" i="13"/>
  <c r="F22" i="13"/>
  <c r="D23" i="13"/>
  <c r="G25" i="13"/>
  <c r="E26" i="13"/>
  <c r="J27" i="13"/>
  <c r="F29" i="13"/>
  <c r="D30" i="13"/>
  <c r="G32" i="13"/>
  <c r="E33" i="13"/>
  <c r="J38" i="13"/>
  <c r="F40" i="13"/>
  <c r="D41" i="13"/>
  <c r="B21" i="13"/>
  <c r="B28" i="13"/>
  <c r="D12" i="13"/>
  <c r="G14" i="13"/>
  <c r="D19" i="13"/>
  <c r="F25" i="13"/>
  <c r="G28" i="13"/>
  <c r="J30" i="13"/>
  <c r="F32" i="13"/>
  <c r="D33" i="13"/>
  <c r="B16" i="13"/>
  <c r="B30" i="13"/>
  <c r="J10" i="13"/>
  <c r="F12" i="13"/>
  <c r="G15" i="13"/>
  <c r="E16" i="13"/>
  <c r="J17" i="13"/>
  <c r="F19" i="13"/>
  <c r="D20" i="13"/>
  <c r="G22" i="13"/>
  <c r="E23" i="13"/>
  <c r="J24" i="13"/>
  <c r="F26" i="13"/>
  <c r="G29" i="13"/>
  <c r="E30" i="13"/>
  <c r="J31" i="13"/>
  <c r="F33" i="13"/>
  <c r="D38" i="13"/>
  <c r="G40" i="13"/>
  <c r="E41" i="13"/>
  <c r="F11" i="13"/>
  <c r="E15" i="13"/>
  <c r="F18" i="13"/>
  <c r="G21" i="13"/>
  <c r="J23" i="13"/>
  <c r="E40" i="13"/>
  <c r="B23" i="13"/>
  <c r="B41" i="13"/>
  <c r="D13" i="13"/>
  <c r="D27" i="13"/>
  <c r="AI10" i="13"/>
  <c r="R3" i="22" l="1"/>
  <c r="Q2" i="22"/>
  <c r="X10" i="13"/>
  <c r="S3" i="22" l="1"/>
  <c r="R2" i="22"/>
  <c r="AC154" i="19"/>
  <c r="AC155" i="19"/>
  <c r="Z154" i="19"/>
  <c r="AA154" i="19"/>
  <c r="AB154" i="19"/>
  <c r="Z155" i="19"/>
  <c r="AA155" i="19"/>
  <c r="AB155" i="19"/>
  <c r="Y155" i="19"/>
  <c r="Z152" i="19"/>
  <c r="AA152" i="19"/>
  <c r="AB152" i="19"/>
  <c r="AC152" i="19"/>
  <c r="Y154" i="19"/>
  <c r="Y152" i="19"/>
  <c r="E149" i="19"/>
  <c r="D149" i="19"/>
  <c r="C149" i="19"/>
  <c r="H667" i="5"/>
  <c r="T3" i="22" l="1"/>
  <c r="S2" i="22"/>
  <c r="C117" i="11"/>
  <c r="C115" i="11"/>
  <c r="J693" i="5"/>
  <c r="J77" i="22" s="1"/>
  <c r="E122" i="8"/>
  <c r="F122" i="8" s="1"/>
  <c r="G122" i="8" s="1"/>
  <c r="H122" i="8" s="1"/>
  <c r="I122" i="8" s="1"/>
  <c r="J122" i="8" s="1"/>
  <c r="K122" i="8" s="1"/>
  <c r="L122" i="8" s="1"/>
  <c r="M122" i="8" s="1"/>
  <c r="N122" i="8" s="1"/>
  <c r="O122" i="8" s="1"/>
  <c r="P122" i="8" s="1"/>
  <c r="Q122" i="8" s="1"/>
  <c r="M68" i="8"/>
  <c r="F116" i="8"/>
  <c r="H117" i="8"/>
  <c r="I117" i="8"/>
  <c r="J117" i="8"/>
  <c r="K117" i="8"/>
  <c r="L117" i="8"/>
  <c r="M117" i="8"/>
  <c r="N117" i="8"/>
  <c r="O117" i="8"/>
  <c r="P117" i="8"/>
  <c r="Q117" i="8"/>
  <c r="F105" i="8"/>
  <c r="H106" i="8"/>
  <c r="I106" i="8"/>
  <c r="J106" i="8"/>
  <c r="K106" i="8"/>
  <c r="L106" i="8"/>
  <c r="M106" i="8"/>
  <c r="N106" i="8"/>
  <c r="O106" i="8"/>
  <c r="P106" i="8"/>
  <c r="Q106" i="8"/>
  <c r="E105" i="8"/>
  <c r="E116" i="8"/>
  <c r="E112" i="8"/>
  <c r="F112" i="8" s="1"/>
  <c r="G112" i="8" s="1"/>
  <c r="H112" i="8" s="1"/>
  <c r="I112" i="8" s="1"/>
  <c r="J112" i="8" s="1"/>
  <c r="K112" i="8" s="1"/>
  <c r="L112" i="8" s="1"/>
  <c r="M112" i="8" s="1"/>
  <c r="N112" i="8" s="1"/>
  <c r="O112" i="8" s="1"/>
  <c r="P112" i="8" s="1"/>
  <c r="Q112" i="8" s="1"/>
  <c r="D76" i="8"/>
  <c r="D74" i="8"/>
  <c r="E56" i="8"/>
  <c r="I266" i="5"/>
  <c r="H266" i="5"/>
  <c r="H273" i="5" s="1"/>
  <c r="E76" i="8" s="1"/>
  <c r="U3" i="22" l="1"/>
  <c r="U2" i="22" s="1"/>
  <c r="T2" i="22"/>
  <c r="D174" i="8"/>
  <c r="E114" i="8"/>
  <c r="I267" i="5"/>
  <c r="I273" i="5"/>
  <c r="E174" i="8" s="1"/>
  <c r="I274" i="5" l="1"/>
  <c r="F114" i="8"/>
  <c r="F76" i="8"/>
  <c r="J822" i="5"/>
  <c r="K822" i="5"/>
  <c r="L822" i="5"/>
  <c r="M822" i="5"/>
  <c r="N822" i="5"/>
  <c r="O822" i="5"/>
  <c r="P822" i="5"/>
  <c r="Q822" i="5"/>
  <c r="R822" i="5"/>
  <c r="S822" i="5"/>
  <c r="T822" i="5"/>
  <c r="F40" i="21"/>
  <c r="K40" i="21" s="1"/>
  <c r="F31" i="21"/>
  <c r="E31" i="21"/>
  <c r="E36" i="21" s="1"/>
  <c r="F30" i="21"/>
  <c r="E30" i="21"/>
  <c r="F29" i="21"/>
  <c r="F34" i="21" s="1"/>
  <c r="F43" i="21" s="1"/>
  <c r="E29" i="21"/>
  <c r="E34" i="21" s="1"/>
  <c r="K26" i="21"/>
  <c r="J26" i="21"/>
  <c r="K25" i="21"/>
  <c r="J25" i="21"/>
  <c r="J16" i="21"/>
  <c r="F16" i="21"/>
  <c r="K16" i="21" s="1"/>
  <c r="D5" i="21"/>
  <c r="E5" i="21" s="1"/>
  <c r="F5" i="21" s="1"/>
  <c r="K30" i="21" l="1"/>
  <c r="K31" i="21"/>
  <c r="F35" i="21"/>
  <c r="F44" i="21" s="1"/>
  <c r="K44" i="21" s="1"/>
  <c r="F36" i="21"/>
  <c r="K36" i="21" s="1"/>
  <c r="J30" i="21"/>
  <c r="J31" i="21"/>
  <c r="E35" i="21"/>
  <c r="J35" i="21"/>
  <c r="J36" i="21"/>
  <c r="G16" i="21"/>
  <c r="K35" i="21" l="1"/>
  <c r="K247" i="5"/>
  <c r="L247" i="5" s="1"/>
  <c r="M247" i="5" s="1"/>
  <c r="N247" i="5" s="1"/>
  <c r="O247" i="5" s="1"/>
  <c r="P247" i="5" s="1"/>
  <c r="Q247" i="5" s="1"/>
  <c r="H8" i="20"/>
  <c r="H9" i="20" a="1"/>
  <c r="H9" i="20" l="1"/>
  <c r="I7" i="20"/>
  <c r="C5" i="20" l="1"/>
  <c r="I8" i="20" s="1"/>
  <c r="I9" i="20" a="1"/>
  <c r="I9" i="20" l="1"/>
  <c r="J9" i="20" s="1"/>
  <c r="C10" i="20"/>
  <c r="C24" i="20"/>
  <c r="C38" i="20"/>
  <c r="C52" i="20"/>
  <c r="C66" i="20"/>
  <c r="C80" i="20"/>
  <c r="C94" i="20"/>
  <c r="C108" i="20"/>
  <c r="C122" i="20"/>
  <c r="C136" i="20"/>
  <c r="C150" i="20"/>
  <c r="C67" i="20"/>
  <c r="C95" i="20"/>
  <c r="C109" i="20"/>
  <c r="C123" i="20"/>
  <c r="C151" i="20"/>
  <c r="C12" i="20"/>
  <c r="C26" i="20"/>
  <c r="C54" i="20"/>
  <c r="C68" i="20"/>
  <c r="C82" i="20"/>
  <c r="C124" i="20"/>
  <c r="C138" i="20"/>
  <c r="C13" i="20"/>
  <c r="C41" i="20"/>
  <c r="C69" i="20"/>
  <c r="C97" i="20"/>
  <c r="C125" i="20"/>
  <c r="C153" i="20"/>
  <c r="C28" i="20"/>
  <c r="C56" i="20"/>
  <c r="C84" i="20"/>
  <c r="C98" i="20"/>
  <c r="C126" i="20"/>
  <c r="C154" i="20"/>
  <c r="C130" i="20"/>
  <c r="C19" i="20"/>
  <c r="C89" i="20"/>
  <c r="C131" i="20"/>
  <c r="C20" i="20"/>
  <c r="C90" i="20"/>
  <c r="C160" i="20"/>
  <c r="C35" i="20"/>
  <c r="C77" i="20"/>
  <c r="C119" i="20"/>
  <c r="C22" i="20"/>
  <c r="C64" i="20"/>
  <c r="C120" i="20"/>
  <c r="C23" i="20"/>
  <c r="C65" i="20"/>
  <c r="C107" i="20"/>
  <c r="C11" i="20"/>
  <c r="C25" i="20"/>
  <c r="C39" i="20"/>
  <c r="C53" i="20"/>
  <c r="C81" i="20"/>
  <c r="C137" i="20"/>
  <c r="C40" i="20"/>
  <c r="C96" i="20"/>
  <c r="C110" i="20"/>
  <c r="C152" i="20"/>
  <c r="C27" i="20"/>
  <c r="C55" i="20"/>
  <c r="C83" i="20"/>
  <c r="C111" i="20"/>
  <c r="C139" i="20"/>
  <c r="C14" i="20"/>
  <c r="C42" i="20"/>
  <c r="C70" i="20"/>
  <c r="C112" i="20"/>
  <c r="C140" i="20"/>
  <c r="C88" i="20"/>
  <c r="C116" i="20"/>
  <c r="C158" i="20"/>
  <c r="C33" i="20"/>
  <c r="C75" i="20"/>
  <c r="C117" i="20"/>
  <c r="C159" i="20"/>
  <c r="C34" i="20"/>
  <c r="C62" i="20"/>
  <c r="C118" i="20"/>
  <c r="C146" i="20"/>
  <c r="C49" i="20"/>
  <c r="C91" i="20"/>
  <c r="C133" i="20"/>
  <c r="C36" i="20"/>
  <c r="C78" i="20"/>
  <c r="C106" i="20"/>
  <c r="C148" i="20"/>
  <c r="C51" i="20"/>
  <c r="C93" i="20"/>
  <c r="C135" i="20"/>
  <c r="C149" i="20"/>
  <c r="C15" i="20"/>
  <c r="C29" i="20"/>
  <c r="C43" i="20"/>
  <c r="C57" i="20"/>
  <c r="C71" i="20"/>
  <c r="C85" i="20"/>
  <c r="C99" i="20"/>
  <c r="C113" i="20"/>
  <c r="C127" i="20"/>
  <c r="C141" i="20"/>
  <c r="C155" i="20"/>
  <c r="C16" i="20"/>
  <c r="C30" i="20"/>
  <c r="C44" i="20"/>
  <c r="C58" i="20"/>
  <c r="C72" i="20"/>
  <c r="C86" i="20"/>
  <c r="C100" i="20"/>
  <c r="C114" i="20"/>
  <c r="C128" i="20"/>
  <c r="C142" i="20"/>
  <c r="C156" i="20"/>
  <c r="C17" i="20"/>
  <c r="C31" i="20"/>
  <c r="C45" i="20"/>
  <c r="C59" i="20"/>
  <c r="C73" i="20"/>
  <c r="C87" i="20"/>
  <c r="C101" i="20"/>
  <c r="C115" i="20"/>
  <c r="C129" i="20"/>
  <c r="C143" i="20"/>
  <c r="C157" i="20"/>
  <c r="C18" i="20"/>
  <c r="C32" i="20"/>
  <c r="C46" i="20"/>
  <c r="C60" i="20"/>
  <c r="C74" i="20"/>
  <c r="C102" i="20"/>
  <c r="C144" i="20"/>
  <c r="C47" i="20"/>
  <c r="C61" i="20"/>
  <c r="C103" i="20"/>
  <c r="C145" i="20"/>
  <c r="C48" i="20"/>
  <c r="C76" i="20"/>
  <c r="C104" i="20"/>
  <c r="C132" i="20"/>
  <c r="C21" i="20"/>
  <c r="C63" i="20"/>
  <c r="C105" i="20"/>
  <c r="C147" i="20"/>
  <c r="C50" i="20"/>
  <c r="C92" i="20"/>
  <c r="C134" i="20"/>
  <c r="C37" i="20"/>
  <c r="C79" i="20"/>
  <c r="C121" i="20"/>
  <c r="D9" i="20" a="1"/>
  <c r="B9" i="20" a="1"/>
  <c r="B9" i="20" l="1"/>
  <c r="C9" i="20" s="1"/>
  <c r="F4" i="20" s="1"/>
  <c r="F5" i="20" s="1"/>
  <c r="D9" i="20"/>
  <c r="F3" i="20" s="1"/>
  <c r="E48" i="8" l="1"/>
  <c r="F48" i="8"/>
  <c r="G48" i="8"/>
  <c r="D48" i="8"/>
  <c r="E47" i="8"/>
  <c r="F47" i="8"/>
  <c r="G47" i="8"/>
  <c r="H47" i="8"/>
  <c r="D47" i="8"/>
  <c r="K279" i="5"/>
  <c r="L279" i="5" s="1"/>
  <c r="M279" i="5" s="1"/>
  <c r="N279" i="5" s="1"/>
  <c r="O279" i="5" s="1"/>
  <c r="P279" i="5" s="1"/>
  <c r="Q279" i="5" s="1"/>
  <c r="R279" i="5" s="1"/>
  <c r="S279" i="5" s="1"/>
  <c r="T279" i="5" s="1"/>
  <c r="H278" i="5"/>
  <c r="I278" i="5"/>
  <c r="J278" i="5" s="1"/>
  <c r="I279" i="5" l="1"/>
  <c r="W20" i="1"/>
  <c r="J385" i="5"/>
  <c r="J387" i="5" s="1"/>
  <c r="J389" i="5" s="1"/>
  <c r="K385" i="5"/>
  <c r="K387" i="5" s="1"/>
  <c r="K389" i="5" s="1"/>
  <c r="L385" i="5"/>
  <c r="L387" i="5" s="1"/>
  <c r="L389" i="5" s="1"/>
  <c r="K512" i="5"/>
  <c r="L512" i="5"/>
  <c r="M512" i="5"/>
  <c r="N512" i="5"/>
  <c r="O512" i="5"/>
  <c r="P512" i="5"/>
  <c r="Q512" i="5"/>
  <c r="R512" i="5"/>
  <c r="S512" i="5"/>
  <c r="T512" i="5"/>
  <c r="C118" i="11" l="1"/>
  <c r="D35" i="11"/>
  <c r="C36" i="11"/>
  <c r="D36" i="11" s="1"/>
  <c r="E36" i="11" s="1"/>
  <c r="E35" i="11" s="1"/>
  <c r="J375" i="5"/>
  <c r="J484" i="5" s="1"/>
  <c r="J489" i="5"/>
  <c r="J370" i="5"/>
  <c r="J373" i="5" s="1"/>
  <c r="J310" i="5"/>
  <c r="K310" i="5" s="1"/>
  <c r="L310" i="5" s="1"/>
  <c r="M310" i="5" s="1"/>
  <c r="N310" i="5" s="1"/>
  <c r="O310" i="5" s="1"/>
  <c r="P310" i="5" s="1"/>
  <c r="Q310" i="5" s="1"/>
  <c r="R310" i="5" s="1"/>
  <c r="S310" i="5" s="1"/>
  <c r="T310" i="5" s="1"/>
  <c r="R247" i="5"/>
  <c r="S247" i="5" s="1"/>
  <c r="T247" i="5" s="1"/>
  <c r="H42" i="11"/>
  <c r="E57" i="11"/>
  <c r="D44" i="11"/>
  <c r="C44" i="11" s="1"/>
  <c r="D43" i="11"/>
  <c r="C43" i="11" s="1"/>
  <c r="D57" i="11"/>
  <c r="D45" i="11" s="1"/>
  <c r="J512" i="5" l="1"/>
  <c r="D34" i="11"/>
  <c r="J377" i="5"/>
  <c r="J381" i="5" s="1"/>
  <c r="K24" i="5"/>
  <c r="L24" i="5" s="1"/>
  <c r="M24" i="5" s="1"/>
  <c r="N24" i="5" s="1"/>
  <c r="O24" i="5" s="1"/>
  <c r="P24" i="5" s="1"/>
  <c r="Q24" i="5" s="1"/>
  <c r="R24" i="5" s="1"/>
  <c r="S24" i="5" s="1"/>
  <c r="T24" i="5" s="1"/>
  <c r="K23" i="5"/>
  <c r="L23" i="5" s="1"/>
  <c r="M23" i="5" s="1"/>
  <c r="N23" i="5" s="1"/>
  <c r="O23" i="5" s="1"/>
  <c r="P23" i="5" s="1"/>
  <c r="Q23" i="5" s="1"/>
  <c r="R23" i="5" s="1"/>
  <c r="S23" i="5" s="1"/>
  <c r="T23" i="5" s="1"/>
  <c r="F153" i="5" l="1"/>
  <c r="G153" i="5"/>
  <c r="H153" i="5"/>
  <c r="I153" i="5"/>
  <c r="G105" i="5"/>
  <c r="H105" i="5"/>
  <c r="I105" i="5"/>
  <c r="F105" i="5"/>
  <c r="V35" i="1"/>
  <c r="D30" i="2"/>
  <c r="C52" i="7"/>
  <c r="D63" i="11"/>
  <c r="E63" i="11" s="1"/>
  <c r="F63" i="11" s="1"/>
  <c r="G63" i="11" s="1"/>
  <c r="H63" i="11" s="1"/>
  <c r="I63" i="11" s="1"/>
  <c r="J63" i="11" s="1"/>
  <c r="K63" i="11" s="1"/>
  <c r="L63" i="11" s="1"/>
  <c r="M63" i="11" s="1"/>
  <c r="N63" i="11" s="1"/>
  <c r="BC39" i="13"/>
  <c r="BB39" i="13"/>
  <c r="BA39" i="13"/>
  <c r="AZ39" i="13"/>
  <c r="AW39" i="13"/>
  <c r="AV39" i="13"/>
  <c r="AU39" i="13"/>
  <c r="AT39" i="13"/>
  <c r="AO39" i="13"/>
  <c r="AP39" i="13"/>
  <c r="AQ39" i="13"/>
  <c r="AN39" i="13"/>
  <c r="AK36" i="13"/>
  <c r="AJ36" i="13"/>
  <c r="AI36" i="13"/>
  <c r="AH36" i="13"/>
  <c r="AK35" i="13"/>
  <c r="AJ35" i="13"/>
  <c r="AI35" i="13"/>
  <c r="AH35" i="13"/>
  <c r="AK34" i="13"/>
  <c r="AJ34" i="13"/>
  <c r="AI34" i="13"/>
  <c r="AH34" i="13"/>
  <c r="X36" i="13"/>
  <c r="Y36" i="13"/>
  <c r="Z36" i="13"/>
  <c r="AA36" i="13"/>
  <c r="AC36" i="13"/>
  <c r="AD36" i="13"/>
  <c r="AE36" i="13"/>
  <c r="AF36" i="13"/>
  <c r="X34" i="13"/>
  <c r="Y34" i="13"/>
  <c r="Z34" i="13"/>
  <c r="AA34" i="13"/>
  <c r="AC34" i="13"/>
  <c r="AD34" i="13"/>
  <c r="AE34" i="13"/>
  <c r="AF34" i="13"/>
  <c r="X35" i="13"/>
  <c r="Y35" i="13"/>
  <c r="Z35" i="13"/>
  <c r="AA35" i="13"/>
  <c r="AC35" i="13"/>
  <c r="AD35" i="13"/>
  <c r="AE35" i="13"/>
  <c r="AF35" i="13"/>
  <c r="X33" i="13"/>
  <c r="Y33" i="13"/>
  <c r="Z33" i="13"/>
  <c r="AA33" i="13"/>
  <c r="AC33" i="13"/>
  <c r="AD33" i="13"/>
  <c r="AE33" i="13"/>
  <c r="AF33" i="13"/>
  <c r="AH31" i="13"/>
  <c r="AI31" i="13"/>
  <c r="AJ31" i="13"/>
  <c r="AK31" i="13"/>
  <c r="AH32" i="13"/>
  <c r="AI32" i="13"/>
  <c r="AJ32" i="13"/>
  <c r="AK32" i="13"/>
  <c r="X32" i="13"/>
  <c r="Y32" i="13"/>
  <c r="Z32" i="13"/>
  <c r="AA32" i="13"/>
  <c r="AC32" i="13"/>
  <c r="AD32" i="13"/>
  <c r="AE32" i="13"/>
  <c r="AF32" i="13"/>
  <c r="AH13" i="13"/>
  <c r="AI13" i="13"/>
  <c r="AJ13" i="13"/>
  <c r="AK13" i="13"/>
  <c r="AC20" i="13"/>
  <c r="AD20" i="13"/>
  <c r="AE20" i="13"/>
  <c r="AF20" i="13"/>
  <c r="AC21" i="13"/>
  <c r="AD21" i="13"/>
  <c r="AE21" i="13"/>
  <c r="AF21" i="13"/>
  <c r="AC22" i="13"/>
  <c r="AD22" i="13"/>
  <c r="AE22" i="13"/>
  <c r="AF22" i="13"/>
  <c r="AC23" i="13"/>
  <c r="AD23" i="13"/>
  <c r="AE23" i="13"/>
  <c r="AF23" i="13"/>
  <c r="AC24" i="13"/>
  <c r="AD24" i="13"/>
  <c r="AE24" i="13"/>
  <c r="AF24" i="13"/>
  <c r="AC25" i="13"/>
  <c r="AD25" i="13"/>
  <c r="AE25" i="13"/>
  <c r="AF25" i="13"/>
  <c r="AC26" i="13"/>
  <c r="AD26" i="13"/>
  <c r="AE26" i="13"/>
  <c r="AF26" i="13"/>
  <c r="AC27" i="13"/>
  <c r="AD27" i="13"/>
  <c r="AE27" i="13"/>
  <c r="AF27" i="13"/>
  <c r="AC28" i="13"/>
  <c r="AD28" i="13"/>
  <c r="AE28" i="13"/>
  <c r="AF28" i="13"/>
  <c r="AC29" i="13"/>
  <c r="AD29" i="13"/>
  <c r="AE29" i="13"/>
  <c r="AF29" i="13"/>
  <c r="AC30" i="13"/>
  <c r="AD30" i="13"/>
  <c r="AE30" i="13"/>
  <c r="AF30" i="13"/>
  <c r="AC31" i="13"/>
  <c r="AD31" i="13"/>
  <c r="AE31" i="13"/>
  <c r="AF31" i="13"/>
  <c r="AI12" i="13" l="1"/>
  <c r="AH20" i="13"/>
  <c r="AI20" i="13"/>
  <c r="AJ20" i="13"/>
  <c r="AK23" i="13"/>
  <c r="AK20" i="13"/>
  <c r="AK17" i="13" l="1"/>
  <c r="AK24" i="13"/>
  <c r="AK19" i="13"/>
  <c r="AK18" i="13"/>
  <c r="AJ19" i="13"/>
  <c r="AJ24" i="13"/>
  <c r="AH22" i="13"/>
  <c r="AI18" i="13"/>
  <c r="AI24" i="13"/>
  <c r="AJ18" i="13"/>
  <c r="AJ17" i="13"/>
  <c r="AI23" i="13"/>
  <c r="AH17" i="13"/>
  <c r="AJ23" i="13"/>
  <c r="AH24" i="13"/>
  <c r="AI22" i="13"/>
  <c r="AH19" i="13"/>
  <c r="AK22" i="13"/>
  <c r="AI17" i="13"/>
  <c r="AI19" i="13"/>
  <c r="AJ22" i="13"/>
  <c r="AK12" i="13"/>
  <c r="AJ12" i="13"/>
  <c r="AH23" i="13"/>
  <c r="AH12" i="13"/>
  <c r="AH18" i="13"/>
  <c r="AI15" i="13" l="1"/>
  <c r="AK10" i="13" l="1"/>
  <c r="AJ10" i="13"/>
  <c r="AI16" i="13"/>
  <c r="AJ16" i="13"/>
  <c r="AK16" i="13"/>
  <c r="AH10" i="13"/>
  <c r="AI25" i="13" l="1"/>
  <c r="AJ27" i="13"/>
  <c r="AH16" i="13"/>
  <c r="AJ25" i="13"/>
  <c r="AK11" i="13"/>
  <c r="AI11" i="13"/>
  <c r="AI14" i="13"/>
  <c r="AI27" i="13"/>
  <c r="AH27" i="13"/>
  <c r="AH14" i="13"/>
  <c r="AK29" i="13"/>
  <c r="AJ14" i="13"/>
  <c r="AK25" i="13"/>
  <c r="AK14" i="13"/>
  <c r="AK27" i="13"/>
  <c r="AH25" i="13"/>
  <c r="AH30" i="13"/>
  <c r="AI30" i="13"/>
  <c r="AJ30" i="13"/>
  <c r="AK30" i="13"/>
  <c r="AK15" i="13" l="1"/>
  <c r="AK28" i="13"/>
  <c r="AJ15" i="13"/>
  <c r="AJ28" i="13"/>
  <c r="AJ11" i="13"/>
  <c r="AH28" i="13"/>
  <c r="AI29" i="13"/>
  <c r="AH15" i="13"/>
  <c r="AH29" i="13"/>
  <c r="AJ29" i="13"/>
  <c r="AI28" i="13"/>
  <c r="AH11" i="13"/>
  <c r="AI9" i="13" l="1"/>
  <c r="AJ9" i="13" s="1"/>
  <c r="AK9" i="13" s="1"/>
  <c r="AD9" i="13"/>
  <c r="AE9" i="13" s="1"/>
  <c r="AF9" i="13" s="1"/>
  <c r="AE19" i="13" l="1"/>
  <c r="AD12" i="13"/>
  <c r="AE12" i="13"/>
  <c r="AE14" i="13"/>
  <c r="AC10" i="13"/>
  <c r="AE10" i="13"/>
  <c r="Z10" i="13"/>
  <c r="AD16" i="13"/>
  <c r="AC11" i="13"/>
  <c r="AC15" i="13"/>
  <c r="AF11" i="13" l="1"/>
  <c r="AD10" i="13"/>
  <c r="AA20" i="13"/>
  <c r="Z21" i="13"/>
  <c r="AF10" i="13"/>
  <c r="AF19" i="13"/>
  <c r="Y29" i="13"/>
  <c r="AC19" i="13"/>
  <c r="AD19" i="13"/>
  <c r="Y19" i="13"/>
  <c r="Z14" i="13"/>
  <c r="AE16" i="13"/>
  <c r="AC12" i="13"/>
  <c r="AE11" i="13"/>
  <c r="AF12" i="13"/>
  <c r="X11" i="13"/>
  <c r="AF15" i="13"/>
  <c r="AA29" i="13"/>
  <c r="Y12" i="13"/>
  <c r="AD11" i="13"/>
  <c r="X29" i="13"/>
  <c r="AA21" i="13"/>
  <c r="Z16" i="13"/>
  <c r="AF16" i="13"/>
  <c r="AD14" i="13"/>
  <c r="AC14" i="13"/>
  <c r="AD15" i="13"/>
  <c r="AE15" i="13"/>
  <c r="AF14" i="13"/>
  <c r="Y26" i="13"/>
  <c r="AA26" i="13"/>
  <c r="Y23" i="13"/>
  <c r="X15" i="13"/>
  <c r="Y18" i="13"/>
  <c r="AA18" i="13"/>
  <c r="Y15" i="13"/>
  <c r="Z18" i="13"/>
  <c r="Z12" i="13"/>
  <c r="Y10" i="13"/>
  <c r="AC17" i="13"/>
  <c r="AF17" i="13"/>
  <c r="AE17" i="13"/>
  <c r="X28" i="13"/>
  <c r="AD17" i="13"/>
  <c r="AC16" i="13"/>
  <c r="Z29" i="13"/>
  <c r="Z20" i="13" l="1"/>
  <c r="X23" i="13"/>
  <c r="Y16" i="13"/>
  <c r="AA11" i="13"/>
  <c r="Z23" i="13"/>
  <c r="X19" i="13"/>
  <c r="Y28" i="13"/>
  <c r="X26" i="13"/>
  <c r="Y14" i="13"/>
  <c r="AA28" i="13"/>
  <c r="Y20" i="13"/>
  <c r="Z15" i="13"/>
  <c r="Y21" i="13"/>
  <c r="AA12" i="13"/>
  <c r="X12" i="13"/>
  <c r="X27" i="13"/>
  <c r="Y11" i="13"/>
  <c r="AA16" i="13"/>
  <c r="Y27" i="13"/>
  <c r="Z11" i="13"/>
  <c r="Z28" i="13"/>
  <c r="X22" i="13"/>
  <c r="Y31" i="13"/>
  <c r="X20" i="13"/>
  <c r="X14" i="13"/>
  <c r="Z26" i="13"/>
  <c r="AA27" i="13"/>
  <c r="Z27" i="13"/>
  <c r="AA10" i="13"/>
  <c r="AA14" i="13"/>
  <c r="Y22" i="13"/>
  <c r="AA15" i="13"/>
  <c r="Z22" i="13"/>
  <c r="X31" i="13"/>
  <c r="Z31" i="13"/>
  <c r="AA31" i="13"/>
  <c r="X18" i="13"/>
  <c r="Z19" i="13"/>
  <c r="AA17" i="13"/>
  <c r="Y17" i="13"/>
  <c r="Z17" i="13"/>
  <c r="X17" i="13"/>
  <c r="X21" i="13"/>
  <c r="X16" i="13"/>
  <c r="AA23" i="13" l="1"/>
  <c r="AA22" i="13"/>
  <c r="AA19" i="13"/>
  <c r="X30" i="13" l="1"/>
  <c r="Y30" i="13"/>
  <c r="Z30" i="13" l="1"/>
  <c r="AA30" i="13" l="1"/>
  <c r="I289" i="5" l="1"/>
  <c r="T50" i="16"/>
  <c r="T49" i="16"/>
  <c r="P51" i="16"/>
  <c r="Q48" i="16" s="1"/>
  <c r="L8" i="15"/>
  <c r="X9" i="15"/>
  <c r="X10" i="15"/>
  <c r="X11" i="15"/>
  <c r="X12" i="15"/>
  <c r="X8" i="15"/>
  <c r="Q47" i="16" l="1"/>
  <c r="Q50" i="16"/>
  <c r="Q49" i="16"/>
  <c r="K79" i="5"/>
  <c r="L79" i="5"/>
  <c r="M79" i="5"/>
  <c r="N79" i="5"/>
  <c r="O79" i="5"/>
  <c r="P79" i="5"/>
  <c r="Q79" i="5"/>
  <c r="R79" i="5"/>
  <c r="S79" i="5"/>
  <c r="T79" i="5"/>
  <c r="J79" i="5"/>
  <c r="AC27" i="19"/>
  <c r="AC35" i="19"/>
  <c r="AB35" i="19"/>
  <c r="AB32" i="19"/>
  <c r="AB31" i="19"/>
  <c r="AB27" i="19"/>
  <c r="AC3" i="19"/>
  <c r="AC4" i="19" s="1"/>
  <c r="AB13" i="19"/>
  <c r="AB3" i="19"/>
  <c r="AB4" i="19" s="1"/>
  <c r="AD162" i="19"/>
  <c r="AE162" i="19"/>
  <c r="AF162" i="19"/>
  <c r="AG162" i="19"/>
  <c r="AH162" i="19"/>
  <c r="AI162" i="19"/>
  <c r="AJ162" i="19"/>
  <c r="AK162" i="19"/>
  <c r="AL162" i="19"/>
  <c r="AM162" i="19"/>
  <c r="AN162" i="19"/>
  <c r="AD163" i="19"/>
  <c r="AE163" i="19"/>
  <c r="AF163" i="19"/>
  <c r="AG163" i="19"/>
  <c r="AH163" i="19"/>
  <c r="AI163" i="19"/>
  <c r="AJ163" i="19"/>
  <c r="AK163" i="19"/>
  <c r="AL163" i="19"/>
  <c r="AM163" i="19"/>
  <c r="AN163" i="19"/>
  <c r="AD173" i="19"/>
  <c r="AE173" i="19"/>
  <c r="AF173" i="19"/>
  <c r="AG173" i="19"/>
  <c r="AH173" i="19"/>
  <c r="AI173" i="19"/>
  <c r="AJ173" i="19"/>
  <c r="AK173" i="19"/>
  <c r="AL173" i="19"/>
  <c r="AM173" i="19"/>
  <c r="AN173" i="19"/>
  <c r="AC173" i="19"/>
  <c r="AC172" i="19"/>
  <c r="AC163" i="19"/>
  <c r="AC162" i="19"/>
  <c r="AJ119" i="19"/>
  <c r="AK119" i="19"/>
  <c r="AL119" i="19"/>
  <c r="AM119" i="19"/>
  <c r="AN119" i="19"/>
  <c r="C817" i="5"/>
  <c r="C819" i="5"/>
  <c r="C818" i="5"/>
  <c r="AE119" i="19"/>
  <c r="AF119" i="19"/>
  <c r="AG119" i="19"/>
  <c r="AH119" i="19"/>
  <c r="AI119" i="19"/>
  <c r="I822" i="5"/>
  <c r="E157" i="19"/>
  <c r="D157" i="19"/>
  <c r="C157" i="19"/>
  <c r="E132" i="19"/>
  <c r="D132" i="19"/>
  <c r="C132" i="19"/>
  <c r="E124" i="19"/>
  <c r="D124" i="19"/>
  <c r="C124" i="19"/>
  <c r="E73" i="19"/>
  <c r="D73" i="19"/>
  <c r="C73" i="19"/>
  <c r="E17" i="19"/>
  <c r="D17" i="19"/>
  <c r="C17" i="19"/>
  <c r="D110" i="19"/>
  <c r="E110" i="19"/>
  <c r="C110" i="19"/>
  <c r="F2" i="19"/>
  <c r="G2" i="19" l="1"/>
  <c r="F149" i="19"/>
  <c r="AC119" i="19"/>
  <c r="F73" i="19"/>
  <c r="G73" i="19"/>
  <c r="G157" i="19"/>
  <c r="F17" i="19"/>
  <c r="G17" i="19"/>
  <c r="G132" i="19"/>
  <c r="F157" i="19"/>
  <c r="F124" i="19"/>
  <c r="G110" i="19"/>
  <c r="G124" i="19"/>
  <c r="F132" i="19"/>
  <c r="F110" i="19"/>
  <c r="C129" i="11"/>
  <c r="N230" i="8"/>
  <c r="M230" i="8"/>
  <c r="L230" i="8"/>
  <c r="I230" i="8"/>
  <c r="H230" i="8"/>
  <c r="G230" i="8"/>
  <c r="D231" i="8"/>
  <c r="H231" i="8" s="1"/>
  <c r="G46" i="5"/>
  <c r="H46" i="5"/>
  <c r="I46" i="5"/>
  <c r="F46" i="5"/>
  <c r="C57" i="7"/>
  <c r="K515" i="5"/>
  <c r="L515" i="5"/>
  <c r="M515" i="5"/>
  <c r="N515" i="5"/>
  <c r="O515" i="5"/>
  <c r="P515" i="5"/>
  <c r="Q515" i="5"/>
  <c r="R515" i="5"/>
  <c r="S515" i="5"/>
  <c r="T515" i="5"/>
  <c r="K516" i="5"/>
  <c r="L516" i="5"/>
  <c r="M516" i="5"/>
  <c r="N516" i="5"/>
  <c r="O516" i="5"/>
  <c r="P516" i="5"/>
  <c r="Q516" i="5"/>
  <c r="R516" i="5"/>
  <c r="S516" i="5"/>
  <c r="T516" i="5"/>
  <c r="H2" i="19" l="1"/>
  <c r="G149" i="19"/>
  <c r="Q517" i="5"/>
  <c r="O517" i="5"/>
  <c r="N517" i="5"/>
  <c r="L517" i="5"/>
  <c r="R517" i="5"/>
  <c r="T517" i="5"/>
  <c r="S517" i="5"/>
  <c r="P517" i="5"/>
  <c r="M517" i="5"/>
  <c r="K517" i="5"/>
  <c r="I2" i="19" l="1"/>
  <c r="H149" i="19"/>
  <c r="H17" i="19"/>
  <c r="H73" i="19"/>
  <c r="H157" i="19"/>
  <c r="H110" i="19"/>
  <c r="H124" i="19"/>
  <c r="H132" i="19"/>
  <c r="I740" i="5"/>
  <c r="J740" i="5" s="1"/>
  <c r="K740" i="5" s="1"/>
  <c r="L740" i="5" s="1"/>
  <c r="M740" i="5" s="1"/>
  <c r="N740" i="5" s="1"/>
  <c r="O740" i="5" s="1"/>
  <c r="P740" i="5" s="1"/>
  <c r="Q740" i="5" s="1"/>
  <c r="R740" i="5" s="1"/>
  <c r="S740" i="5" s="1"/>
  <c r="T740" i="5" s="1"/>
  <c r="N43" i="2"/>
  <c r="O43" i="2"/>
  <c r="P43" i="2"/>
  <c r="Q43" i="2"/>
  <c r="R43" i="2"/>
  <c r="S43" i="2"/>
  <c r="T43" i="2"/>
  <c r="U43" i="2"/>
  <c r="V43" i="2"/>
  <c r="W43" i="2"/>
  <c r="X43" i="2"/>
  <c r="M43" i="2"/>
  <c r="I45" i="2"/>
  <c r="J2" i="19" l="1"/>
  <c r="I149" i="19"/>
  <c r="I124" i="19"/>
  <c r="I110" i="19"/>
  <c r="I73" i="19"/>
  <c r="I132" i="19"/>
  <c r="I17" i="19"/>
  <c r="I157" i="19"/>
  <c r="I5" i="2"/>
  <c r="I35" i="2"/>
  <c r="U16" i="17"/>
  <c r="T16" i="17"/>
  <c r="F13" i="17"/>
  <c r="K2" i="19" l="1"/>
  <c r="J149" i="19"/>
  <c r="J110" i="19"/>
  <c r="J17" i="19"/>
  <c r="J73" i="19"/>
  <c r="J157" i="19"/>
  <c r="J124" i="19"/>
  <c r="J132" i="19"/>
  <c r="H344" i="5"/>
  <c r="G344" i="5" s="1"/>
  <c r="F344" i="5" s="1"/>
  <c r="E22" i="10"/>
  <c r="D22" i="10"/>
  <c r="E21" i="10"/>
  <c r="D21" i="10"/>
  <c r="D12" i="10"/>
  <c r="E12" i="10" s="1"/>
  <c r="F12" i="10" s="1"/>
  <c r="G12" i="10" s="1"/>
  <c r="H12" i="10" s="1"/>
  <c r="I12" i="10" s="1"/>
  <c r="J12" i="10" s="1"/>
  <c r="K12" i="10" s="1"/>
  <c r="L12" i="10" s="1"/>
  <c r="M12" i="10" s="1"/>
  <c r="N12" i="10" s="1"/>
  <c r="O12" i="10" s="1"/>
  <c r="P12" i="10" s="1"/>
  <c r="Q12" i="10" s="1"/>
  <c r="R12" i="10" s="1"/>
  <c r="I320" i="5"/>
  <c r="U20" i="17"/>
  <c r="T21" i="17"/>
  <c r="T20" i="17"/>
  <c r="T19" i="17"/>
  <c r="U15" i="17"/>
  <c r="T15" i="17"/>
  <c r="T11" i="17"/>
  <c r="T10" i="17"/>
  <c r="U12" i="17"/>
  <c r="T12" i="17"/>
  <c r="N13" i="17"/>
  <c r="M13" i="17"/>
  <c r="L13" i="17"/>
  <c r="K13" i="17"/>
  <c r="J13" i="17"/>
  <c r="I13" i="17"/>
  <c r="F52" i="17"/>
  <c r="E52" i="17"/>
  <c r="K118" i="17"/>
  <c r="K120" i="17" s="1"/>
  <c r="K113" i="17" s="1"/>
  <c r="L118" i="17"/>
  <c r="L120" i="17" s="1"/>
  <c r="L113" i="17" s="1"/>
  <c r="M118" i="17"/>
  <c r="M120" i="17" s="1"/>
  <c r="M113" i="17" s="1"/>
  <c r="N118" i="17"/>
  <c r="N120" i="17" s="1"/>
  <c r="N113" i="17" s="1"/>
  <c r="I118" i="17"/>
  <c r="I120" i="17" s="1"/>
  <c r="I113" i="17" s="1"/>
  <c r="J118" i="17"/>
  <c r="J120" i="17" s="1"/>
  <c r="J113" i="17" s="1"/>
  <c r="F118" i="17"/>
  <c r="F120" i="17" s="1"/>
  <c r="F113" i="17" s="1"/>
  <c r="G118" i="17"/>
  <c r="G120" i="17" s="1"/>
  <c r="G113" i="17" s="1"/>
  <c r="H118" i="17"/>
  <c r="H120" i="17" s="1"/>
  <c r="H113" i="17" s="1"/>
  <c r="V52" i="17"/>
  <c r="G93" i="17"/>
  <c r="G95" i="17" s="1"/>
  <c r="G88" i="17" s="1"/>
  <c r="H93" i="17"/>
  <c r="H95" i="17" s="1"/>
  <c r="H88" i="17" s="1"/>
  <c r="F93" i="17"/>
  <c r="F95" i="17" s="1"/>
  <c r="F88" i="17" s="1"/>
  <c r="E93" i="17"/>
  <c r="E95" i="17" s="1"/>
  <c r="E88" i="17" s="1"/>
  <c r="D93" i="17"/>
  <c r="D95" i="17" s="1"/>
  <c r="D88" i="17" s="1"/>
  <c r="S52" i="17"/>
  <c r="T52" i="17"/>
  <c r="O52" i="17"/>
  <c r="P52" i="17"/>
  <c r="N52" i="17"/>
  <c r="Q52" i="17"/>
  <c r="R52" i="17"/>
  <c r="H52" i="17"/>
  <c r="L52" i="17"/>
  <c r="D52" i="17"/>
  <c r="G52" i="17"/>
  <c r="F42" i="5"/>
  <c r="G42" i="5"/>
  <c r="H42" i="5"/>
  <c r="I42" i="5"/>
  <c r="E42" i="5"/>
  <c r="L2" i="19" l="1"/>
  <c r="K149" i="19"/>
  <c r="K124" i="19"/>
  <c r="K132" i="19"/>
  <c r="K110" i="19"/>
  <c r="K73" i="19"/>
  <c r="K17" i="19"/>
  <c r="K157" i="19"/>
  <c r="F21" i="10"/>
  <c r="V15" i="17"/>
  <c r="X21" i="17"/>
  <c r="W21" i="17"/>
  <c r="V12" i="17"/>
  <c r="V16" i="17"/>
  <c r="W16" i="17"/>
  <c r="W20" i="17"/>
  <c r="X16" i="17"/>
  <c r="W12" i="17"/>
  <c r="X12" i="17"/>
  <c r="V20" i="17"/>
  <c r="W11" i="17"/>
  <c r="X10" i="17"/>
  <c r="X20" i="17"/>
  <c r="K40" i="5"/>
  <c r="G41" i="5"/>
  <c r="H41" i="5"/>
  <c r="I41" i="5"/>
  <c r="J41" i="5"/>
  <c r="F41" i="5"/>
  <c r="M2" i="19" l="1"/>
  <c r="L149" i="19"/>
  <c r="L124" i="19"/>
  <c r="L157" i="19"/>
  <c r="L132" i="19"/>
  <c r="L110" i="19"/>
  <c r="L73" i="19"/>
  <c r="L17" i="19"/>
  <c r="W24" i="17"/>
  <c r="W23" i="17"/>
  <c r="W13" i="17"/>
  <c r="W25" i="17" s="1"/>
  <c r="L40" i="5"/>
  <c r="E53" i="8"/>
  <c r="F53" i="8"/>
  <c r="G53" i="8"/>
  <c r="H53" i="8"/>
  <c r="D53" i="8"/>
  <c r="I130" i="5"/>
  <c r="I113" i="5"/>
  <c r="H48" i="8" s="1"/>
  <c r="E117" i="5"/>
  <c r="F117" i="5"/>
  <c r="G117" i="5"/>
  <c r="H117" i="5"/>
  <c r="N2" i="19" l="1"/>
  <c r="M149" i="19"/>
  <c r="M124" i="19"/>
  <c r="M157" i="19"/>
  <c r="M110" i="19"/>
  <c r="M73" i="19"/>
  <c r="M17" i="19"/>
  <c r="M132" i="19"/>
  <c r="M40" i="5"/>
  <c r="D73" i="8"/>
  <c r="O2" i="19" l="1"/>
  <c r="N149" i="19"/>
  <c r="N157" i="19"/>
  <c r="N17" i="19"/>
  <c r="N110" i="19"/>
  <c r="N124" i="19"/>
  <c r="N132" i="19"/>
  <c r="N73" i="19"/>
  <c r="N40" i="5"/>
  <c r="G140" i="5"/>
  <c r="H140" i="5"/>
  <c r="I140" i="5"/>
  <c r="F140" i="5"/>
  <c r="F533" i="5"/>
  <c r="P2" i="19" l="1"/>
  <c r="O149" i="19"/>
  <c r="O157" i="19"/>
  <c r="O124" i="19"/>
  <c r="O17" i="19"/>
  <c r="O132" i="19"/>
  <c r="O73" i="19"/>
  <c r="O110" i="19"/>
  <c r="O40" i="5"/>
  <c r="J515" i="5"/>
  <c r="J516" i="5"/>
  <c r="I783" i="5"/>
  <c r="G105" i="11"/>
  <c r="C107" i="11"/>
  <c r="G107" i="11" s="1"/>
  <c r="C104" i="11"/>
  <c r="C106" i="11" s="1"/>
  <c r="S112" i="1"/>
  <c r="S111" i="1"/>
  <c r="S110" i="1"/>
  <c r="BK37" i="13"/>
  <c r="Q2" i="19" l="1"/>
  <c r="P149" i="19"/>
  <c r="P132" i="19"/>
  <c r="P157" i="19"/>
  <c r="P73" i="19"/>
  <c r="P124" i="19"/>
  <c r="P17" i="19"/>
  <c r="P110" i="19"/>
  <c r="C108" i="11"/>
  <c r="C109" i="11" s="1"/>
  <c r="P40" i="5"/>
  <c r="G104" i="11"/>
  <c r="G106" i="11" s="1"/>
  <c r="G108" i="11" s="1"/>
  <c r="R2" i="19" l="1"/>
  <c r="Q149" i="19"/>
  <c r="Q132" i="19"/>
  <c r="Q110" i="19"/>
  <c r="Q124" i="19"/>
  <c r="Q73" i="19"/>
  <c r="Q17" i="19"/>
  <c r="Q157" i="19"/>
  <c r="Q40" i="5"/>
  <c r="S2" i="19" l="1"/>
  <c r="R149" i="19"/>
  <c r="R157" i="19"/>
  <c r="R124" i="19"/>
  <c r="R132" i="19"/>
  <c r="R110" i="19"/>
  <c r="R73" i="19"/>
  <c r="R17" i="19"/>
  <c r="R40" i="5"/>
  <c r="T2" i="19" l="1"/>
  <c r="S149" i="19"/>
  <c r="S110" i="19"/>
  <c r="S132" i="19"/>
  <c r="S157" i="19"/>
  <c r="S73" i="19"/>
  <c r="S17" i="19"/>
  <c r="S124" i="19"/>
  <c r="S40" i="5"/>
  <c r="U2" i="19" l="1"/>
  <c r="T149" i="19"/>
  <c r="T132" i="19"/>
  <c r="T124" i="19"/>
  <c r="T73" i="19"/>
  <c r="T157" i="19"/>
  <c r="T110" i="19"/>
  <c r="T17" i="19"/>
  <c r="T40" i="5"/>
  <c r="V2" i="19" l="1"/>
  <c r="U149" i="19"/>
  <c r="U110" i="19"/>
  <c r="U73" i="19"/>
  <c r="U157" i="19"/>
  <c r="U132" i="19"/>
  <c r="U17" i="19"/>
  <c r="U124" i="19"/>
  <c r="M29" i="13"/>
  <c r="M30" i="13"/>
  <c r="M24" i="13"/>
  <c r="M31" i="13"/>
  <c r="M26" i="13"/>
  <c r="M33" i="13"/>
  <c r="W2" i="19" l="1"/>
  <c r="V149" i="19"/>
  <c r="V132" i="19"/>
  <c r="V157" i="19"/>
  <c r="V17" i="19"/>
  <c r="V73" i="19"/>
  <c r="V110" i="19"/>
  <c r="V124" i="19"/>
  <c r="M25" i="13"/>
  <c r="M27" i="13"/>
  <c r="P31" i="13"/>
  <c r="S31" i="13"/>
  <c r="S32" i="13"/>
  <c r="P32" i="13"/>
  <c r="P29" i="13"/>
  <c r="S29" i="13"/>
  <c r="S27" i="13"/>
  <c r="P27" i="13"/>
  <c r="S33" i="13"/>
  <c r="P33" i="13"/>
  <c r="P30" i="13"/>
  <c r="S30" i="13"/>
  <c r="S24" i="13"/>
  <c r="P24" i="13"/>
  <c r="P26" i="13"/>
  <c r="S26" i="13"/>
  <c r="S28" i="13"/>
  <c r="P28" i="13"/>
  <c r="M28" i="13"/>
  <c r="M32" i="13"/>
  <c r="S25" i="13"/>
  <c r="P25" i="13"/>
  <c r="M23" i="13"/>
  <c r="M22" i="13"/>
  <c r="M18" i="13"/>
  <c r="M19" i="13"/>
  <c r="P22" i="13"/>
  <c r="S22" i="13"/>
  <c r="P20" i="13"/>
  <c r="S20" i="13"/>
  <c r="P19" i="13"/>
  <c r="S19" i="13"/>
  <c r="P23" i="13"/>
  <c r="S23" i="13"/>
  <c r="M20" i="13"/>
  <c r="P18" i="13"/>
  <c r="S18" i="13"/>
  <c r="P21" i="13"/>
  <c r="S21" i="13"/>
  <c r="M21" i="13"/>
  <c r="M10" i="13"/>
  <c r="M11" i="13"/>
  <c r="M15" i="13"/>
  <c r="M12" i="13"/>
  <c r="M14" i="13"/>
  <c r="S15" i="13"/>
  <c r="P15" i="13"/>
  <c r="S13" i="13"/>
  <c r="P13" i="13"/>
  <c r="S14" i="13"/>
  <c r="P14" i="13"/>
  <c r="S11" i="13"/>
  <c r="P11" i="13"/>
  <c r="S12" i="13"/>
  <c r="P12" i="13"/>
  <c r="M16" i="13"/>
  <c r="M13" i="13"/>
  <c r="P16" i="13"/>
  <c r="S16" i="13"/>
  <c r="S10" i="13"/>
  <c r="P10" i="13"/>
  <c r="X2" i="19" l="1"/>
  <c r="W149" i="19"/>
  <c r="W110" i="19"/>
  <c r="W17" i="19"/>
  <c r="W132" i="19"/>
  <c r="W157" i="19"/>
  <c r="W124" i="19"/>
  <c r="W73" i="19"/>
  <c r="E183" i="8"/>
  <c r="G200" i="8"/>
  <c r="G201" i="8" s="1"/>
  <c r="F200" i="8"/>
  <c r="F201" i="8" s="1"/>
  <c r="G183" i="8"/>
  <c r="E574" i="5"/>
  <c r="F574" i="5"/>
  <c r="G574" i="5"/>
  <c r="E585" i="5"/>
  <c r="F585" i="5"/>
  <c r="G585" i="5"/>
  <c r="F650" i="5"/>
  <c r="I199" i="8" s="1"/>
  <c r="I200" i="8" s="1"/>
  <c r="I201" i="8" s="1"/>
  <c r="G650" i="5"/>
  <c r="J199" i="8" s="1"/>
  <c r="J200" i="8" s="1"/>
  <c r="J201" i="8" s="1"/>
  <c r="E650" i="5"/>
  <c r="H199" i="8" s="1"/>
  <c r="H200" i="8" s="1"/>
  <c r="H201" i="8" s="1"/>
  <c r="J204" i="8"/>
  <c r="I204" i="8" s="1"/>
  <c r="L204" i="8"/>
  <c r="M204" i="8" s="1"/>
  <c r="I188" i="5"/>
  <c r="E604" i="5"/>
  <c r="E614" i="5" s="1"/>
  <c r="F604" i="5"/>
  <c r="I186" i="8" s="1"/>
  <c r="G604" i="5"/>
  <c r="J186" i="8" s="1"/>
  <c r="E396" i="5"/>
  <c r="F396" i="5"/>
  <c r="G396" i="5"/>
  <c r="I183" i="8"/>
  <c r="J183" i="8" s="1"/>
  <c r="Y2" i="19" l="1"/>
  <c r="X149" i="19"/>
  <c r="X157" i="19"/>
  <c r="X132" i="19"/>
  <c r="X110" i="19"/>
  <c r="X17" i="19"/>
  <c r="X73" i="19"/>
  <c r="X124" i="19"/>
  <c r="J203" i="8"/>
  <c r="J207" i="8" s="1"/>
  <c r="I203" i="8"/>
  <c r="I207" i="8" s="1"/>
  <c r="H203" i="8"/>
  <c r="H186" i="8"/>
  <c r="H204" i="8"/>
  <c r="N204" i="8"/>
  <c r="F614" i="5"/>
  <c r="F398" i="5"/>
  <c r="G397" i="5"/>
  <c r="G398" i="5"/>
  <c r="F397" i="5"/>
  <c r="E397" i="5"/>
  <c r="G614" i="5"/>
  <c r="E398" i="5"/>
  <c r="Z2" i="19" l="1"/>
  <c r="Y149" i="19"/>
  <c r="Y73" i="19"/>
  <c r="Y110" i="19"/>
  <c r="Y124" i="19"/>
  <c r="Y157" i="19"/>
  <c r="Y132" i="19"/>
  <c r="Y17" i="19"/>
  <c r="H207" i="8"/>
  <c r="H205" i="8"/>
  <c r="H209" i="8" s="1"/>
  <c r="I205" i="8"/>
  <c r="I209" i="8" s="1"/>
  <c r="J205" i="8"/>
  <c r="J209" i="8" s="1"/>
  <c r="G204" i="8"/>
  <c r="O204" i="8"/>
  <c r="AA2" i="19" l="1"/>
  <c r="Z149" i="19"/>
  <c r="Z157" i="19"/>
  <c r="Z110" i="19"/>
  <c r="Z73" i="19"/>
  <c r="Z17" i="19"/>
  <c r="Z124" i="19"/>
  <c r="Z132" i="19"/>
  <c r="F204" i="8"/>
  <c r="F205" i="8" s="1"/>
  <c r="F209" i="8" s="1"/>
  <c r="G205" i="8"/>
  <c r="G209" i="8" s="1"/>
  <c r="P204" i="8"/>
  <c r="AB2" i="19" l="1"/>
  <c r="AA149" i="19"/>
  <c r="AA124" i="19"/>
  <c r="AA157" i="19"/>
  <c r="AA73" i="19"/>
  <c r="AA132" i="19"/>
  <c r="AA17" i="19"/>
  <c r="AA110" i="19"/>
  <c r="Q204" i="8"/>
  <c r="AC2" i="19" l="1"/>
  <c r="AB149" i="19"/>
  <c r="AB110" i="19"/>
  <c r="AB17" i="19"/>
  <c r="AB157" i="19"/>
  <c r="AB124" i="19"/>
  <c r="AB73" i="19"/>
  <c r="AB132" i="19"/>
  <c r="R204" i="8"/>
  <c r="AD2" i="19" l="1"/>
  <c r="AC149" i="19"/>
  <c r="AC132" i="19"/>
  <c r="AC17" i="19"/>
  <c r="AC157" i="19"/>
  <c r="AC73" i="19"/>
  <c r="AC110" i="19"/>
  <c r="AC124" i="19"/>
  <c r="S204" i="8"/>
  <c r="AE2" i="19" l="1"/>
  <c r="AD149" i="19"/>
  <c r="AD124" i="19"/>
  <c r="AD157" i="19"/>
  <c r="AD132" i="19"/>
  <c r="AD110" i="19"/>
  <c r="AD17" i="19"/>
  <c r="AD73" i="19"/>
  <c r="T204" i="8"/>
  <c r="AF2" i="19" l="1"/>
  <c r="AE149" i="19"/>
  <c r="AE132" i="19"/>
  <c r="AE110" i="19"/>
  <c r="AE157" i="19"/>
  <c r="AE73" i="19"/>
  <c r="AE17" i="19"/>
  <c r="AE124" i="19"/>
  <c r="U204" i="8"/>
  <c r="AG2" i="19" l="1"/>
  <c r="AF149" i="19"/>
  <c r="AF17" i="19"/>
  <c r="AF157" i="19"/>
  <c r="AF110" i="19"/>
  <c r="AF124" i="19"/>
  <c r="AF73" i="19"/>
  <c r="AF132" i="19"/>
  <c r="V204" i="8"/>
  <c r="AH2" i="19" l="1"/>
  <c r="AG149" i="19"/>
  <c r="AG110" i="19"/>
  <c r="AG124" i="19"/>
  <c r="AG73" i="19"/>
  <c r="AG157" i="19"/>
  <c r="AG132" i="19"/>
  <c r="AG17" i="19"/>
  <c r="W204" i="8"/>
  <c r="AI2" i="19" l="1"/>
  <c r="AH149" i="19"/>
  <c r="AH157" i="19"/>
  <c r="AH132" i="19"/>
  <c r="AH124" i="19"/>
  <c r="AH110" i="19"/>
  <c r="AH73" i="19"/>
  <c r="AH17" i="19"/>
  <c r="AJ8" i="15"/>
  <c r="AK8" i="15"/>
  <c r="AL8" i="15"/>
  <c r="AM8" i="15"/>
  <c r="AJ9" i="15"/>
  <c r="AK9" i="15"/>
  <c r="AL9" i="15"/>
  <c r="AM9" i="15"/>
  <c r="AJ10" i="15"/>
  <c r="AK10" i="15"/>
  <c r="AL10" i="15"/>
  <c r="AM10" i="15"/>
  <c r="AI9" i="15"/>
  <c r="AI10" i="15"/>
  <c r="AI8" i="15"/>
  <c r="AF9" i="15"/>
  <c r="AF10" i="15"/>
  <c r="AF8" i="15"/>
  <c r="U19" i="15"/>
  <c r="X17" i="15" s="1"/>
  <c r="S18" i="15"/>
  <c r="T19" i="15"/>
  <c r="W17" i="15" s="1"/>
  <c r="AJ2" i="19" l="1"/>
  <c r="AI149" i="19"/>
  <c r="AI124" i="19"/>
  <c r="AI110" i="19"/>
  <c r="AI157" i="19"/>
  <c r="AI132" i="19"/>
  <c r="AI17" i="19"/>
  <c r="AI73" i="19"/>
  <c r="S19" i="15"/>
  <c r="V17" i="15" s="1"/>
  <c r="X16" i="15"/>
  <c r="W16" i="15"/>
  <c r="W18" i="15"/>
  <c r="X18" i="15"/>
  <c r="M8" i="15"/>
  <c r="N8" i="15"/>
  <c r="O8" i="15"/>
  <c r="L9" i="15"/>
  <c r="M9" i="15"/>
  <c r="N9" i="15"/>
  <c r="O9" i="15"/>
  <c r="L10" i="15"/>
  <c r="M10" i="15"/>
  <c r="N10" i="15"/>
  <c r="O10" i="15"/>
  <c r="L11" i="15"/>
  <c r="M11" i="15"/>
  <c r="N11" i="15"/>
  <c r="O11" i="15"/>
  <c r="L12" i="15"/>
  <c r="M12" i="15"/>
  <c r="N12" i="15"/>
  <c r="O12" i="15"/>
  <c r="K9" i="15"/>
  <c r="K10" i="15"/>
  <c r="K11" i="15"/>
  <c r="K12" i="15"/>
  <c r="K8" i="15"/>
  <c r="F43" i="13"/>
  <c r="AK2" i="19" l="1"/>
  <c r="AJ149" i="19"/>
  <c r="AJ132" i="19"/>
  <c r="AJ17" i="19"/>
  <c r="AJ157" i="19"/>
  <c r="AJ110" i="19"/>
  <c r="AJ124" i="19"/>
  <c r="AJ73" i="19"/>
  <c r="P9" i="15"/>
  <c r="V16" i="15"/>
  <c r="V18" i="15"/>
  <c r="J43" i="13"/>
  <c r="S43" i="13" s="1"/>
  <c r="U43" i="13"/>
  <c r="T43" i="13"/>
  <c r="P43" i="13"/>
  <c r="R43" i="13"/>
  <c r="Q43" i="13"/>
  <c r="P12" i="15"/>
  <c r="P11" i="15"/>
  <c r="P10" i="15"/>
  <c r="P8" i="15"/>
  <c r="AN8" i="15"/>
  <c r="AN10" i="15"/>
  <c r="AN9" i="15"/>
  <c r="AL2" i="19" l="1"/>
  <c r="AK149" i="19"/>
  <c r="AK73" i="19"/>
  <c r="AK157" i="19"/>
  <c r="AK132" i="19"/>
  <c r="AK110" i="19"/>
  <c r="AK17" i="19"/>
  <c r="AK124" i="19"/>
  <c r="E239" i="8"/>
  <c r="F239" i="8" s="1"/>
  <c r="G239" i="8" s="1"/>
  <c r="H239" i="8" s="1"/>
  <c r="I239" i="8" s="1"/>
  <c r="J239" i="8" s="1"/>
  <c r="K239" i="8" s="1"/>
  <c r="L239" i="8" s="1"/>
  <c r="M239" i="8" s="1"/>
  <c r="N239" i="8" s="1"/>
  <c r="O239" i="8" s="1"/>
  <c r="P239" i="8" s="1"/>
  <c r="L183" i="8"/>
  <c r="M183" i="8" s="1"/>
  <c r="N183" i="8" s="1"/>
  <c r="O183" i="8" s="1"/>
  <c r="P183" i="8" s="1"/>
  <c r="Q183" i="8" s="1"/>
  <c r="R183" i="8" s="1"/>
  <c r="S183" i="8" s="1"/>
  <c r="T183" i="8" s="1"/>
  <c r="U183" i="8" s="1"/>
  <c r="V183" i="8" s="1"/>
  <c r="W183" i="8" s="1"/>
  <c r="C134" i="11"/>
  <c r="C231" i="8"/>
  <c r="K231" i="8" s="1"/>
  <c r="AM2" i="19" l="1"/>
  <c r="AL149" i="19"/>
  <c r="AL132" i="19"/>
  <c r="AL124" i="19"/>
  <c r="AL157" i="19"/>
  <c r="AL73" i="19"/>
  <c r="AL110" i="19"/>
  <c r="AL17" i="19"/>
  <c r="M231" i="8"/>
  <c r="AN2" i="19" l="1"/>
  <c r="AM149" i="19"/>
  <c r="AM124" i="19"/>
  <c r="AM132" i="19"/>
  <c r="AM110" i="19"/>
  <c r="AM73" i="19"/>
  <c r="AM17" i="19"/>
  <c r="AM157" i="19"/>
  <c r="P17" i="13"/>
  <c r="S17" i="13"/>
  <c r="M17" i="13"/>
  <c r="T6" i="13"/>
  <c r="U6" i="13" s="1"/>
  <c r="Q6" i="13"/>
  <c r="R6" i="13" s="1"/>
  <c r="N6" i="13"/>
  <c r="O6" i="13" s="1"/>
  <c r="K6" i="13"/>
  <c r="H6" i="13"/>
  <c r="AN132" i="19" l="1"/>
  <c r="AN149" i="19"/>
  <c r="AN17" i="19"/>
  <c r="AN110" i="19"/>
  <c r="AN124" i="19"/>
  <c r="AN157" i="19"/>
  <c r="AN73" i="19"/>
  <c r="M38" i="13"/>
  <c r="M39" i="13"/>
  <c r="M40" i="13"/>
  <c r="M41" i="13"/>
  <c r="L6" i="13"/>
  <c r="I6" i="13"/>
  <c r="H30" i="13" a="1"/>
  <c r="K29" i="13" a="1"/>
  <c r="H29" i="13" a="1"/>
  <c r="K19" i="13" a="1"/>
  <c r="K25" i="13" a="1"/>
  <c r="K26" i="13" a="1"/>
  <c r="H18" i="13" a="1"/>
  <c r="H27" i="13" a="1"/>
  <c r="H12" i="13" a="1"/>
  <c r="K32" i="13" a="1"/>
  <c r="K23" i="13" a="1"/>
  <c r="H25" i="13" a="1"/>
  <c r="H32" i="13" a="1"/>
  <c r="K15" i="13" a="1"/>
  <c r="K33" i="13" a="1"/>
  <c r="K41" i="13" a="1"/>
  <c r="K40" i="13" a="1"/>
  <c r="H22" i="13" a="1"/>
  <c r="K13" i="13" a="1"/>
  <c r="K27" i="13" a="1"/>
  <c r="K17" i="13" a="1"/>
  <c r="H40" i="13" a="1"/>
  <c r="K11" i="13" a="1"/>
  <c r="H38" i="13" a="1"/>
  <c r="H24" i="13" a="1"/>
  <c r="H15" i="13" a="1"/>
  <c r="K12" i="13" a="1"/>
  <c r="H10" i="13" a="1"/>
  <c r="K38" i="13" a="1"/>
  <c r="K20" i="13" a="1"/>
  <c r="K28" i="13" a="1"/>
  <c r="H11" i="13" a="1"/>
  <c r="H39" i="13" a="1"/>
  <c r="K22" i="13" a="1"/>
  <c r="K21" i="13" a="1"/>
  <c r="K30" i="13" a="1"/>
  <c r="K10" i="13" a="1"/>
  <c r="K16" i="13" a="1"/>
  <c r="H28" i="13" a="1"/>
  <c r="H31" i="13" a="1"/>
  <c r="H14" i="13" a="1"/>
  <c r="K18" i="13" a="1"/>
  <c r="H21" i="13" a="1"/>
  <c r="H19" i="13" a="1"/>
  <c r="H17" i="13" a="1"/>
  <c r="K31" i="13" a="1"/>
  <c r="H16" i="13" a="1"/>
  <c r="H33" i="13" a="1"/>
  <c r="H13" i="13" a="1"/>
  <c r="H26" i="13" a="1"/>
  <c r="H41" i="13" a="1"/>
  <c r="K14" i="13" a="1"/>
  <c r="K39" i="13" a="1"/>
  <c r="K24" i="13" a="1"/>
  <c r="H20" i="13" a="1"/>
  <c r="H23" i="13" a="1"/>
  <c r="K21" i="13" l="1"/>
  <c r="K26" i="13"/>
  <c r="H17" i="13"/>
  <c r="Q17" i="13" s="1"/>
  <c r="H22" i="13"/>
  <c r="Q22" i="13" s="1"/>
  <c r="K25" i="13"/>
  <c r="T25" i="13" s="1"/>
  <c r="H21" i="13"/>
  <c r="Q21" i="13" s="1"/>
  <c r="K39" i="13"/>
  <c r="T39" i="13" s="1"/>
  <c r="N233" i="8" s="1"/>
  <c r="K12" i="13"/>
  <c r="T12" i="13" s="1"/>
  <c r="K22" i="13"/>
  <c r="T22" i="13" s="1"/>
  <c r="H25" i="13"/>
  <c r="Q25" i="13" s="1"/>
  <c r="H30" i="13"/>
  <c r="K16" i="13"/>
  <c r="T16" i="13" s="1"/>
  <c r="K32" i="13"/>
  <c r="T32" i="13" s="1"/>
  <c r="H15" i="13"/>
  <c r="Q15" i="13" s="1"/>
  <c r="H26" i="13"/>
  <c r="H38" i="13"/>
  <c r="K17" i="13"/>
  <c r="K40" i="13"/>
  <c r="K14" i="13"/>
  <c r="T14" i="13" s="1"/>
  <c r="H41" i="13"/>
  <c r="Q41" i="13" s="1"/>
  <c r="L235" i="8" s="1"/>
  <c r="H32" i="13"/>
  <c r="Q32" i="13" s="1"/>
  <c r="H10" i="13"/>
  <c r="Q10" i="13" s="1"/>
  <c r="K20" i="13"/>
  <c r="T20" i="13" s="1"/>
  <c r="K24" i="13"/>
  <c r="T24" i="13" s="1"/>
  <c r="H33" i="13"/>
  <c r="Q33" i="13" s="1"/>
  <c r="K31" i="13"/>
  <c r="T31" i="13" s="1"/>
  <c r="K15" i="13"/>
  <c r="T15" i="13" s="1"/>
  <c r="K41" i="13"/>
  <c r="T41" i="13" s="1"/>
  <c r="N235" i="8" s="1"/>
  <c r="H18" i="13"/>
  <c r="H28" i="13"/>
  <c r="K19" i="13"/>
  <c r="T19" i="13" s="1"/>
  <c r="H29" i="13"/>
  <c r="Q29" i="13" s="1"/>
  <c r="H11" i="13"/>
  <c r="Q11" i="13" s="1"/>
  <c r="K23" i="13"/>
  <c r="T23" i="13" s="1"/>
  <c r="H24" i="13"/>
  <c r="Q24" i="13" s="1"/>
  <c r="H39" i="13"/>
  <c r="Q39" i="13" s="1"/>
  <c r="L233" i="8" s="1"/>
  <c r="K38" i="13"/>
  <c r="H19" i="13"/>
  <c r="H13" i="13"/>
  <c r="Q13" i="13" s="1"/>
  <c r="K27" i="13"/>
  <c r="H12" i="13"/>
  <c r="Q12" i="13" s="1"/>
  <c r="H16" i="13"/>
  <c r="Q16" i="13" s="1"/>
  <c r="K10" i="13"/>
  <c r="K11" i="13"/>
  <c r="H20" i="13"/>
  <c r="H40" i="13"/>
  <c r="K18" i="13"/>
  <c r="T18" i="13" s="1"/>
  <c r="K13" i="13"/>
  <c r="K33" i="13"/>
  <c r="T33" i="13" s="1"/>
  <c r="K28" i="13"/>
  <c r="T28" i="13" s="1"/>
  <c r="K29" i="13"/>
  <c r="T29" i="13" s="1"/>
  <c r="K30" i="13"/>
  <c r="H14" i="13"/>
  <c r="Q14" i="13" s="1"/>
  <c r="H27" i="13"/>
  <c r="Q27" i="13" s="1"/>
  <c r="H31" i="13"/>
  <c r="Q31" i="13" s="1"/>
  <c r="H23" i="13"/>
  <c r="Q23" i="13" s="1"/>
  <c r="Q18" i="13"/>
  <c r="T11" i="13"/>
  <c r="T10" i="13"/>
  <c r="T26" i="13"/>
  <c r="Q26" i="13"/>
  <c r="Q20" i="13"/>
  <c r="Q28" i="13"/>
  <c r="T21" i="13"/>
  <c r="P39" i="13"/>
  <c r="K233" i="8" s="1"/>
  <c r="S39" i="13"/>
  <c r="M233" i="8" s="1"/>
  <c r="P41" i="13"/>
  <c r="K235" i="8" s="1"/>
  <c r="S41" i="13"/>
  <c r="M235" i="8" s="1"/>
  <c r="P38" i="13"/>
  <c r="K232" i="8" s="1"/>
  <c r="S38" i="13"/>
  <c r="M232" i="8" s="1"/>
  <c r="P40" i="13"/>
  <c r="K234" i="8" s="1"/>
  <c r="S40" i="13"/>
  <c r="M234" i="8" s="1"/>
  <c r="L31" i="13" a="1"/>
  <c r="L21" i="13" a="1"/>
  <c r="I18" i="13" a="1"/>
  <c r="L39" i="13" a="1"/>
  <c r="L23" i="13" a="1"/>
  <c r="L19" i="13" a="1"/>
  <c r="I33" i="13" a="1"/>
  <c r="L15" i="13" a="1"/>
  <c r="L32" i="13" a="1"/>
  <c r="L27" i="13" a="1"/>
  <c r="I19" i="13" a="1"/>
  <c r="I28" i="13" a="1"/>
  <c r="I22" i="13" a="1"/>
  <c r="L38" i="13" a="1"/>
  <c r="L14" i="13" a="1"/>
  <c r="I38" i="13" a="1"/>
  <c r="I40" i="13" a="1"/>
  <c r="I31" i="13" a="1"/>
  <c r="L10" i="13" a="1"/>
  <c r="L16" i="13" a="1"/>
  <c r="I39" i="13" a="1"/>
  <c r="I32" i="13" a="1"/>
  <c r="L28" i="13" a="1"/>
  <c r="I15" i="13" a="1"/>
  <c r="L33" i="13" a="1"/>
  <c r="L20" i="13" a="1"/>
  <c r="I27" i="13" a="1"/>
  <c r="L26" i="13" a="1"/>
  <c r="L40" i="13" a="1"/>
  <c r="I24" i="13" a="1"/>
  <c r="I41" i="13" a="1"/>
  <c r="L41" i="13" a="1"/>
  <c r="I14" i="13" a="1"/>
  <c r="L22" i="13" a="1"/>
  <c r="I30" i="13" a="1"/>
  <c r="L13" i="13" a="1"/>
  <c r="L29" i="13" a="1"/>
  <c r="I11" i="13" a="1"/>
  <c r="I23" i="13" a="1"/>
  <c r="I13" i="13" a="1"/>
  <c r="I20" i="13" a="1"/>
  <c r="L30" i="13" a="1"/>
  <c r="I25" i="13" a="1"/>
  <c r="L17" i="13" a="1"/>
  <c r="I10" i="13" a="1"/>
  <c r="I16" i="13" a="1"/>
  <c r="I21" i="13" a="1"/>
  <c r="L12" i="13" a="1"/>
  <c r="L25" i="13" a="1"/>
  <c r="I26" i="13" a="1"/>
  <c r="L11" i="13" a="1"/>
  <c r="L18" i="13" a="1"/>
  <c r="I29" i="13" a="1"/>
  <c r="I12" i="13" a="1"/>
  <c r="I17" i="13" a="1"/>
  <c r="L24" i="13" a="1"/>
  <c r="I41" i="13" l="1"/>
  <c r="I33" i="13"/>
  <c r="R33" i="13" s="1"/>
  <c r="L15" i="13"/>
  <c r="I26" i="13"/>
  <c r="R26" i="13" s="1"/>
  <c r="I18" i="13"/>
  <c r="L41" i="13"/>
  <c r="L10" i="13"/>
  <c r="U10" i="13" s="1"/>
  <c r="I20" i="13"/>
  <c r="L33" i="13"/>
  <c r="U33" i="13" s="1"/>
  <c r="L39" i="13"/>
  <c r="L16" i="13"/>
  <c r="U16" i="13" s="1"/>
  <c r="I17" i="13"/>
  <c r="R17" i="13" s="1"/>
  <c r="L28" i="13"/>
  <c r="U28" i="13" s="1"/>
  <c r="I29" i="13"/>
  <c r="R29" i="13" s="1"/>
  <c r="I21" i="13"/>
  <c r="I22" i="13"/>
  <c r="R22" i="13" s="1"/>
  <c r="L12" i="13"/>
  <c r="U12" i="13" s="1"/>
  <c r="L25" i="13"/>
  <c r="I15" i="13"/>
  <c r="R15" i="13" s="1"/>
  <c r="L14" i="13"/>
  <c r="I24" i="13"/>
  <c r="I11" i="13"/>
  <c r="R11" i="13" s="1"/>
  <c r="I28" i="13"/>
  <c r="R28" i="13" s="1"/>
  <c r="L18" i="13"/>
  <c r="L32" i="13"/>
  <c r="U32" i="13" s="1"/>
  <c r="L11" i="13"/>
  <c r="U11" i="13" s="1"/>
  <c r="I39" i="13"/>
  <c r="R39" i="13" s="1"/>
  <c r="L38" i="13"/>
  <c r="L19" i="13"/>
  <c r="I13" i="13"/>
  <c r="R13" i="13" s="1"/>
  <c r="L21" i="13"/>
  <c r="I16" i="13"/>
  <c r="R16" i="13" s="1"/>
  <c r="I19" i="13"/>
  <c r="I12" i="13"/>
  <c r="R12" i="13" s="1"/>
  <c r="L30" i="13"/>
  <c r="L40" i="13"/>
  <c r="L29" i="13"/>
  <c r="U29" i="13" s="1"/>
  <c r="L20" i="13"/>
  <c r="U20" i="13" s="1"/>
  <c r="I23" i="13"/>
  <c r="R23" i="13" s="1"/>
  <c r="L22" i="13"/>
  <c r="U22" i="13" s="1"/>
  <c r="L31" i="13"/>
  <c r="L24" i="13"/>
  <c r="U24" i="13" s="1"/>
  <c r="L23" i="13"/>
  <c r="L13" i="13"/>
  <c r="U13" i="13" s="1"/>
  <c r="I38" i="13"/>
  <c r="R38" i="13" s="1"/>
  <c r="I10" i="13"/>
  <c r="R10" i="13" s="1"/>
  <c r="L27" i="13"/>
  <c r="U27" i="13" s="1"/>
  <c r="I30" i="13"/>
  <c r="R30" i="13" s="1"/>
  <c r="I32" i="13"/>
  <c r="R32" i="13" s="1"/>
  <c r="I27" i="13"/>
  <c r="R27" i="13" s="1"/>
  <c r="I25" i="13"/>
  <c r="R25" i="13" s="1"/>
  <c r="I31" i="13"/>
  <c r="R31" i="13" s="1"/>
  <c r="I40" i="13"/>
  <c r="R40" i="13" s="1"/>
  <c r="I14" i="13"/>
  <c r="R14" i="13" s="1"/>
  <c r="L26" i="13"/>
  <c r="U26" i="13" s="1"/>
  <c r="L17" i="13"/>
  <c r="U19" i="13"/>
  <c r="U15" i="13"/>
  <c r="N19" i="13"/>
  <c r="N27" i="13"/>
  <c r="N13" i="13"/>
  <c r="N30" i="13"/>
  <c r="N40" i="13"/>
  <c r="T27" i="13"/>
  <c r="N31" i="13"/>
  <c r="Q19" i="13"/>
  <c r="N38" i="13"/>
  <c r="N14" i="13"/>
  <c r="Q30" i="13"/>
  <c r="N18" i="13"/>
  <c r="N21" i="13"/>
  <c r="R41" i="13"/>
  <c r="R21" i="13"/>
  <c r="R24" i="13"/>
  <c r="N26" i="13"/>
  <c r="T13" i="13"/>
  <c r="N25" i="13"/>
  <c r="N29" i="13"/>
  <c r="N20" i="13"/>
  <c r="Q38" i="13"/>
  <c r="L232" i="8" s="1"/>
  <c r="T30" i="13"/>
  <c r="N11" i="13"/>
  <c r="N23" i="13"/>
  <c r="N28" i="13"/>
  <c r="N22" i="13"/>
  <c r="N16" i="13"/>
  <c r="Q40" i="13"/>
  <c r="L234" i="8" s="1"/>
  <c r="N33" i="13"/>
  <c r="N12" i="13"/>
  <c r="N32" i="13"/>
  <c r="N10" i="13"/>
  <c r="N15" i="13"/>
  <c r="N24" i="13"/>
  <c r="N17" i="13"/>
  <c r="T17" i="13"/>
  <c r="T38" i="13"/>
  <c r="N232" i="8" s="1"/>
  <c r="T40" i="13"/>
  <c r="N234" i="8" s="1"/>
  <c r="N39" i="13"/>
  <c r="N41" i="13"/>
  <c r="O23" i="13" l="1"/>
  <c r="U23" i="13"/>
  <c r="O14" i="13"/>
  <c r="O31" i="13"/>
  <c r="O21" i="13"/>
  <c r="O18" i="13"/>
  <c r="O29" i="13"/>
  <c r="U18" i="13"/>
  <c r="O30" i="13"/>
  <c r="O20" i="13"/>
  <c r="O33" i="13"/>
  <c r="U21" i="13"/>
  <c r="O28" i="13"/>
  <c r="U30" i="13"/>
  <c r="O38" i="13"/>
  <c r="O15" i="13"/>
  <c r="O25" i="13"/>
  <c r="R20" i="13"/>
  <c r="U14" i="13"/>
  <c r="O12" i="13"/>
  <c r="O10" i="13"/>
  <c r="U25" i="13"/>
  <c r="R19" i="13"/>
  <c r="O19" i="13"/>
  <c r="O24" i="13"/>
  <c r="O27" i="13"/>
  <c r="O32" i="13"/>
  <c r="U31" i="13"/>
  <c r="O11" i="13"/>
  <c r="O13" i="13"/>
  <c r="O26" i="13"/>
  <c r="O16" i="13"/>
  <c r="R18" i="13"/>
  <c r="O22" i="13"/>
  <c r="U38" i="13"/>
  <c r="O17" i="13"/>
  <c r="U17" i="13"/>
  <c r="O40" i="13"/>
  <c r="U40" i="13"/>
  <c r="O41" i="13"/>
  <c r="U41" i="13"/>
  <c r="O39" i="13"/>
  <c r="U39" i="13"/>
  <c r="F125" i="8"/>
  <c r="E125" i="8"/>
  <c r="E101" i="8"/>
  <c r="F101" i="8" s="1"/>
  <c r="G101" i="8" s="1"/>
  <c r="H101" i="8" s="1"/>
  <c r="I101" i="8" s="1"/>
  <c r="J101" i="8" s="1"/>
  <c r="K101" i="8" s="1"/>
  <c r="L101" i="8" s="1"/>
  <c r="M101" i="8" s="1"/>
  <c r="N101" i="8" s="1"/>
  <c r="O101" i="8" s="1"/>
  <c r="P101" i="8" s="1"/>
  <c r="Q101" i="8" s="1"/>
  <c r="I204" i="5"/>
  <c r="F107" i="8" s="1"/>
  <c r="H204" i="5"/>
  <c r="E107" i="8" s="1"/>
  <c r="F128" i="8" l="1"/>
  <c r="E128" i="8"/>
  <c r="I205" i="5"/>
  <c r="D97" i="8"/>
  <c r="E96" i="8"/>
  <c r="F96" i="8" s="1"/>
  <c r="G96" i="8" s="1"/>
  <c r="H96" i="8" s="1"/>
  <c r="I96" i="8" s="1"/>
  <c r="J96" i="8" s="1"/>
  <c r="K96" i="8" s="1"/>
  <c r="L96" i="8" s="1"/>
  <c r="M96" i="8" s="1"/>
  <c r="N96" i="8" s="1"/>
  <c r="O96" i="8" s="1"/>
  <c r="P96" i="8" s="1"/>
  <c r="Q96" i="8" s="1"/>
  <c r="E91" i="8"/>
  <c r="D91" i="8"/>
  <c r="I341" i="5"/>
  <c r="E89" i="8"/>
  <c r="D89" i="8"/>
  <c r="F92" i="8"/>
  <c r="I301" i="5"/>
  <c r="D83" i="8"/>
  <c r="I223" i="5"/>
  <c r="I233" i="5" s="1"/>
  <c r="I220" i="5"/>
  <c r="E88" i="8"/>
  <c r="F88" i="8" s="1"/>
  <c r="G88" i="8" s="1"/>
  <c r="H88" i="8" s="1"/>
  <c r="I88" i="8" s="1"/>
  <c r="J88" i="8" s="1"/>
  <c r="K88" i="8" s="1"/>
  <c r="L88" i="8" s="1"/>
  <c r="M88" i="8" s="1"/>
  <c r="N88" i="8" s="1"/>
  <c r="O88" i="8" s="1"/>
  <c r="P88" i="8" s="1"/>
  <c r="Q88" i="8" s="1"/>
  <c r="D84" i="8"/>
  <c r="E81" i="8"/>
  <c r="F81" i="8"/>
  <c r="H221" i="5"/>
  <c r="E82" i="8" s="1"/>
  <c r="I221" i="5"/>
  <c r="F82" i="8" s="1"/>
  <c r="E80" i="8"/>
  <c r="F80" i="8" s="1"/>
  <c r="G80" i="8" s="1"/>
  <c r="H80" i="8" s="1"/>
  <c r="I80" i="8" s="1"/>
  <c r="J80" i="8" s="1"/>
  <c r="K80" i="8" s="1"/>
  <c r="L80" i="8" s="1"/>
  <c r="M80" i="8" s="1"/>
  <c r="N80" i="8" s="1"/>
  <c r="O80" i="8" s="1"/>
  <c r="P80" i="8" s="1"/>
  <c r="Q80" i="8" s="1"/>
  <c r="E143" i="8"/>
  <c r="F143" i="8" s="1"/>
  <c r="G143" i="8" s="1"/>
  <c r="H143" i="8" s="1"/>
  <c r="I143" i="8" s="1"/>
  <c r="J143" i="8" s="1"/>
  <c r="K143" i="8" s="1"/>
  <c r="L143" i="8" s="1"/>
  <c r="M143" i="8" s="1"/>
  <c r="N143" i="8" s="1"/>
  <c r="O143" i="8" s="1"/>
  <c r="P143" i="8" s="1"/>
  <c r="D75" i="8"/>
  <c r="I236" i="5"/>
  <c r="I238" i="5" s="1"/>
  <c r="I256" i="5"/>
  <c r="H601" i="5"/>
  <c r="AB135" i="19" s="1"/>
  <c r="E44" i="8"/>
  <c r="F44" i="8" s="1"/>
  <c r="F150" i="5"/>
  <c r="F534" i="5" s="1"/>
  <c r="G150" i="5"/>
  <c r="E150" i="5"/>
  <c r="H150" i="5"/>
  <c r="F142" i="5"/>
  <c r="E55" i="8" s="1"/>
  <c r="G142" i="5"/>
  <c r="H142" i="5"/>
  <c r="G55" i="8" s="1"/>
  <c r="K12" i="5"/>
  <c r="K45" i="5" s="1"/>
  <c r="L12" i="5"/>
  <c r="L45" i="5" s="1"/>
  <c r="M12" i="5"/>
  <c r="M45" i="5" s="1"/>
  <c r="N12" i="5"/>
  <c r="N45" i="5" s="1"/>
  <c r="O12" i="5"/>
  <c r="O45" i="5" s="1"/>
  <c r="P12" i="5"/>
  <c r="P45" i="5" s="1"/>
  <c r="Q12" i="5"/>
  <c r="Q45" i="5" s="1"/>
  <c r="R12" i="5"/>
  <c r="R45" i="5" s="1"/>
  <c r="S12" i="5"/>
  <c r="S45" i="5" s="1"/>
  <c r="T12" i="5"/>
  <c r="T45" i="5" s="1"/>
  <c r="J12" i="5"/>
  <c r="J45" i="5" s="1"/>
  <c r="I807" i="5"/>
  <c r="H502" i="5"/>
  <c r="I502" i="5"/>
  <c r="I733" i="5"/>
  <c r="I732" i="5" s="1"/>
  <c r="H733" i="5"/>
  <c r="H732" i="5" s="1"/>
  <c r="I667" i="5"/>
  <c r="I258" i="5" l="1"/>
  <c r="E169" i="8"/>
  <c r="J220" i="5"/>
  <c r="K220" i="5" s="1"/>
  <c r="L220" i="5" s="1"/>
  <c r="AC32" i="19"/>
  <c r="AC167" i="19"/>
  <c r="M41" i="2"/>
  <c r="AC13" i="19"/>
  <c r="G44" i="8"/>
  <c r="H44" i="8" s="1"/>
  <c r="I44" i="8" s="1"/>
  <c r="J44" i="8" s="1"/>
  <c r="K44" i="8" s="1"/>
  <c r="L44" i="8" s="1"/>
  <c r="M44" i="8" s="1"/>
  <c r="N44" i="8" s="1"/>
  <c r="O44" i="8" s="1"/>
  <c r="P44" i="8" s="1"/>
  <c r="Q44" i="8" s="1"/>
  <c r="R44" i="8" s="1"/>
  <c r="S44" i="8" s="1"/>
  <c r="G57" i="8"/>
  <c r="E534" i="5"/>
  <c r="E601" i="5" s="1"/>
  <c r="D57" i="8" s="1"/>
  <c r="G534" i="5"/>
  <c r="G601" i="5" s="1"/>
  <c r="F57" i="8" s="1"/>
  <c r="F75" i="8"/>
  <c r="I200" i="5"/>
  <c r="F103" i="8" s="1"/>
  <c r="F133" i="8" s="1"/>
  <c r="F84" i="8"/>
  <c r="I199" i="5"/>
  <c r="F83" i="8"/>
  <c r="G143" i="5"/>
  <c r="F56" i="8" s="1"/>
  <c r="H151" i="5"/>
  <c r="F151" i="5"/>
  <c r="G151" i="5"/>
  <c r="H143" i="5"/>
  <c r="G56" i="8" s="1"/>
  <c r="F601" i="5"/>
  <c r="E57" i="8" s="1"/>
  <c r="F55" i="8"/>
  <c r="H556" i="5"/>
  <c r="I556" i="5"/>
  <c r="I327" i="5"/>
  <c r="I330" i="5" s="1"/>
  <c r="E92" i="8"/>
  <c r="J33" i="10"/>
  <c r="K33" i="10"/>
  <c r="L33" i="10"/>
  <c r="I33" i="10"/>
  <c r="H256" i="5"/>
  <c r="I216" i="5"/>
  <c r="I246" i="5"/>
  <c r="V43" i="1"/>
  <c r="I142" i="5"/>
  <c r="H138" i="5"/>
  <c r="I138" i="5"/>
  <c r="G138" i="5"/>
  <c r="J137" i="5"/>
  <c r="AD155" i="19" s="1"/>
  <c r="U7" i="1"/>
  <c r="F62" i="5"/>
  <c r="Z151" i="19" s="1"/>
  <c r="G62" i="5"/>
  <c r="AA151" i="19" s="1"/>
  <c r="E62" i="5"/>
  <c r="F3" i="1"/>
  <c r="G3" i="1" s="1"/>
  <c r="H3" i="1" s="1"/>
  <c r="F2" i="1"/>
  <c r="G2" i="1" s="1"/>
  <c r="H2" i="1" s="1"/>
  <c r="T546" i="5"/>
  <c r="S546" i="5"/>
  <c r="R546" i="5"/>
  <c r="Q546" i="5"/>
  <c r="P546" i="5"/>
  <c r="O546" i="5"/>
  <c r="N546" i="5"/>
  <c r="M546" i="5"/>
  <c r="L546" i="5"/>
  <c r="K546" i="5"/>
  <c r="E66" i="5" l="1"/>
  <c r="Y151" i="19"/>
  <c r="H200" i="5"/>
  <c r="E103" i="8" s="1"/>
  <c r="E133" i="8" s="1"/>
  <c r="D169" i="8"/>
  <c r="F102" i="8"/>
  <c r="F113" i="8"/>
  <c r="I253" i="5"/>
  <c r="I263" i="5"/>
  <c r="Y246" i="5"/>
  <c r="I561" i="5"/>
  <c r="I623" i="5"/>
  <c r="AC139" i="19" s="1"/>
  <c r="H623" i="5"/>
  <c r="AB139" i="19" s="1"/>
  <c r="K137" i="5"/>
  <c r="AE155" i="19" s="1"/>
  <c r="G327" i="5"/>
  <c r="F93" i="8"/>
  <c r="I257" i="5"/>
  <c r="E75" i="8"/>
  <c r="H236" i="5"/>
  <c r="H55" i="8"/>
  <c r="I143" i="5"/>
  <c r="H56" i="8" s="1"/>
  <c r="I345" i="5"/>
  <c r="G97" i="5"/>
  <c r="H327" i="5"/>
  <c r="F97" i="5"/>
  <c r="G66" i="5"/>
  <c r="F66" i="5"/>
  <c r="F63" i="5" l="1"/>
  <c r="F64" i="5"/>
  <c r="G63" i="5"/>
  <c r="G64" i="5"/>
  <c r="E63" i="5"/>
  <c r="E64" i="5"/>
  <c r="F87" i="5"/>
  <c r="C65" i="11"/>
  <c r="C89" i="11" s="1"/>
  <c r="E168" i="8"/>
  <c r="E173" i="8" s="1"/>
  <c r="K185" i="8"/>
  <c r="D168" i="8"/>
  <c r="D173" i="8" s="1"/>
  <c r="I270" i="5"/>
  <c r="F74" i="8" s="1"/>
  <c r="H199" i="5"/>
  <c r="H238" i="5"/>
  <c r="F73" i="8"/>
  <c r="Y253" i="5"/>
  <c r="D145" i="8"/>
  <c r="E145" i="8"/>
  <c r="L185" i="8"/>
  <c r="L137" i="5"/>
  <c r="AF155" i="19" s="1"/>
  <c r="H345" i="5"/>
  <c r="D92" i="8"/>
  <c r="I237" i="5"/>
  <c r="E84" i="8"/>
  <c r="F85" i="8" s="1"/>
  <c r="H328" i="5"/>
  <c r="G87" i="5"/>
  <c r="L192" i="8" l="1"/>
  <c r="C79" i="11"/>
  <c r="C94" i="11" s="1"/>
  <c r="C99" i="11" s="1"/>
  <c r="E102" i="8"/>
  <c r="E113" i="8"/>
  <c r="M137" i="5"/>
  <c r="AG155" i="19" s="1"/>
  <c r="F327" i="5"/>
  <c r="G328" i="5" s="1"/>
  <c r="G345" i="5"/>
  <c r="N137" i="5" l="1"/>
  <c r="AH155" i="19" s="1"/>
  <c r="D11" i="2"/>
  <c r="C138" i="11" s="1"/>
  <c r="D39" i="8"/>
  <c r="G38" i="5"/>
  <c r="H38" i="5"/>
  <c r="I38" i="5"/>
  <c r="F38" i="5"/>
  <c r="G45" i="5"/>
  <c r="H45" i="5"/>
  <c r="I45" i="5"/>
  <c r="F45" i="5"/>
  <c r="G92" i="5"/>
  <c r="H92" i="5"/>
  <c r="I92" i="5"/>
  <c r="F92" i="5"/>
  <c r="K521" i="5"/>
  <c r="L521" i="5"/>
  <c r="M521" i="5"/>
  <c r="N521" i="5"/>
  <c r="O521" i="5"/>
  <c r="P521" i="5"/>
  <c r="Q521" i="5"/>
  <c r="R521" i="5"/>
  <c r="S521" i="5"/>
  <c r="T521" i="5"/>
  <c r="J520" i="5"/>
  <c r="D159" i="11"/>
  <c r="E159" i="11"/>
  <c r="C159" i="11"/>
  <c r="G159" i="11" s="1"/>
  <c r="I787" i="5"/>
  <c r="I823" i="5" s="1"/>
  <c r="AC120" i="19" s="1"/>
  <c r="I782" i="5"/>
  <c r="I781" i="5"/>
  <c r="I780" i="5"/>
  <c r="I758" i="5"/>
  <c r="I818" i="5" s="1"/>
  <c r="I767" i="5"/>
  <c r="I766" i="5"/>
  <c r="I765" i="5"/>
  <c r="I764" i="5"/>
  <c r="I759" i="5"/>
  <c r="I819" i="5" s="1"/>
  <c r="I763" i="5"/>
  <c r="I762" i="5"/>
  <c r="I761" i="5"/>
  <c r="G156" i="11" l="1"/>
  <c r="H156" i="11" s="1"/>
  <c r="H157" i="11"/>
  <c r="H158" i="11"/>
  <c r="AC115" i="19"/>
  <c r="AC116" i="19"/>
  <c r="O42" i="2"/>
  <c r="R42" i="2"/>
  <c r="T42" i="2"/>
  <c r="V42" i="2"/>
  <c r="X42" i="2"/>
  <c r="N42" i="2"/>
  <c r="S42" i="2"/>
  <c r="W42" i="2"/>
  <c r="Q42" i="2"/>
  <c r="P42" i="2"/>
  <c r="M42" i="2"/>
  <c r="U42" i="2"/>
  <c r="O137" i="5"/>
  <c r="AI155" i="19" s="1"/>
  <c r="D138" i="11"/>
  <c r="I800" i="5"/>
  <c r="I815" i="5" l="1"/>
  <c r="AC159" i="19"/>
  <c r="P137" i="5"/>
  <c r="AJ155" i="19" s="1"/>
  <c r="C24" i="7"/>
  <c r="C17" i="7"/>
  <c r="C18" i="7" s="1"/>
  <c r="F2" i="7"/>
  <c r="G2" i="7" s="1"/>
  <c r="H2" i="7" s="1"/>
  <c r="I2" i="7" s="1"/>
  <c r="J2" i="7" s="1"/>
  <c r="K2" i="7" s="1"/>
  <c r="L2" i="7" s="1"/>
  <c r="M2" i="7" s="1"/>
  <c r="N2" i="7" s="1"/>
  <c r="O2" i="7" s="1"/>
  <c r="P2" i="7" s="1"/>
  <c r="Q2" i="7" s="1"/>
  <c r="F3" i="7"/>
  <c r="G3" i="7" s="1"/>
  <c r="H3" i="7" s="1"/>
  <c r="I3" i="7" s="1"/>
  <c r="J3" i="7" s="1"/>
  <c r="K3" i="7" s="1"/>
  <c r="L3" i="7" s="1"/>
  <c r="M3" i="7" s="1"/>
  <c r="N3" i="7" s="1"/>
  <c r="O3" i="7" s="1"/>
  <c r="P3" i="7" s="1"/>
  <c r="Q3" i="7" s="1"/>
  <c r="C15" i="7"/>
  <c r="AC112" i="19" l="1"/>
  <c r="Q137" i="5"/>
  <c r="AK155" i="19" s="1"/>
  <c r="C20" i="7"/>
  <c r="G43" i="7"/>
  <c r="E68" i="8"/>
  <c r="F68" i="8"/>
  <c r="G68" i="8"/>
  <c r="I68" i="8"/>
  <c r="J68" i="8"/>
  <c r="K68" i="8"/>
  <c r="L68" i="8"/>
  <c r="H66" i="8"/>
  <c r="H68" i="8" s="1"/>
  <c r="D66" i="8"/>
  <c r="D68" i="8" s="1"/>
  <c r="L3" i="1"/>
  <c r="L2" i="1" s="1"/>
  <c r="K2" i="1"/>
  <c r="E71" i="8"/>
  <c r="E70" i="8"/>
  <c r="F70" i="8" s="1"/>
  <c r="F71" i="8"/>
  <c r="R137" i="5" l="1"/>
  <c r="AL155" i="19" s="1"/>
  <c r="M3" i="1"/>
  <c r="N3" i="1" s="1"/>
  <c r="N2" i="1" s="1"/>
  <c r="G44" i="7"/>
  <c r="H43" i="7"/>
  <c r="H45" i="7" s="1"/>
  <c r="G45" i="7"/>
  <c r="G70" i="8"/>
  <c r="H70" i="8" s="1"/>
  <c r="I70" i="8" s="1"/>
  <c r="J70" i="8" s="1"/>
  <c r="K70" i="8" s="1"/>
  <c r="L70" i="8" s="1"/>
  <c r="M70" i="8" s="1"/>
  <c r="N70" i="8" s="1"/>
  <c r="O70" i="8" s="1"/>
  <c r="P70" i="8" s="1"/>
  <c r="Q70" i="8" s="1"/>
  <c r="S137" i="5" l="1"/>
  <c r="AM155" i="19" s="1"/>
  <c r="M2" i="1"/>
  <c r="O3" i="1"/>
  <c r="G46" i="7"/>
  <c r="I43" i="7"/>
  <c r="T137" i="5" l="1"/>
  <c r="AN155" i="19" s="1"/>
  <c r="J43" i="7"/>
  <c r="I45" i="7"/>
  <c r="K43" i="7" l="1"/>
  <c r="J45" i="7"/>
  <c r="L43" i="7" l="1"/>
  <c r="K45" i="7"/>
  <c r="M43" i="7" l="1"/>
  <c r="L45" i="7"/>
  <c r="N43" i="7" l="1"/>
  <c r="M45" i="7"/>
  <c r="O43" i="7" l="1"/>
  <c r="N45" i="7"/>
  <c r="P43" i="7" l="1"/>
  <c r="O45" i="7"/>
  <c r="Q43" i="7" l="1"/>
  <c r="P45" i="7"/>
  <c r="Q45" i="7" l="1"/>
  <c r="K31" i="5" l="1"/>
  <c r="L31" i="5"/>
  <c r="M31" i="5"/>
  <c r="N31" i="5"/>
  <c r="O31" i="5"/>
  <c r="P31" i="5"/>
  <c r="Q31" i="5"/>
  <c r="R31" i="5"/>
  <c r="S31" i="5"/>
  <c r="T31" i="5"/>
  <c r="K32" i="5"/>
  <c r="L32" i="5"/>
  <c r="M32" i="5"/>
  <c r="N32" i="5"/>
  <c r="O32" i="5"/>
  <c r="P32" i="5"/>
  <c r="Q32" i="5"/>
  <c r="R32" i="5"/>
  <c r="S32" i="5"/>
  <c r="T32" i="5"/>
  <c r="J32" i="5"/>
  <c r="J31" i="5"/>
  <c r="J14" i="5"/>
  <c r="J352" i="5" s="1"/>
  <c r="K14" i="5"/>
  <c r="K352" i="5" s="1"/>
  <c r="L14" i="5"/>
  <c r="L352" i="5" s="1"/>
  <c r="M14" i="5"/>
  <c r="M352" i="5" s="1"/>
  <c r="N14" i="5"/>
  <c r="N352" i="5" s="1"/>
  <c r="O14" i="5"/>
  <c r="O352" i="5" s="1"/>
  <c r="P14" i="5"/>
  <c r="P352" i="5" s="1"/>
  <c r="Q14" i="5"/>
  <c r="Q352" i="5" s="1"/>
  <c r="R14" i="5"/>
  <c r="R352" i="5" s="1"/>
  <c r="S14" i="5"/>
  <c r="S352" i="5" s="1"/>
  <c r="T14" i="5"/>
  <c r="T352" i="5" s="1"/>
  <c r="J15" i="5"/>
  <c r="J353" i="5" s="1"/>
  <c r="K15" i="5"/>
  <c r="K353" i="5" s="1"/>
  <c r="L15" i="5"/>
  <c r="L353" i="5" s="1"/>
  <c r="M15" i="5"/>
  <c r="M353" i="5" s="1"/>
  <c r="N15" i="5"/>
  <c r="N353" i="5" s="1"/>
  <c r="O15" i="5"/>
  <c r="O353" i="5" s="1"/>
  <c r="P15" i="5"/>
  <c r="P353" i="5" s="1"/>
  <c r="Q15" i="5"/>
  <c r="Q353" i="5" s="1"/>
  <c r="R15" i="5"/>
  <c r="R353" i="5" s="1"/>
  <c r="S15" i="5"/>
  <c r="S353" i="5" s="1"/>
  <c r="T15" i="5"/>
  <c r="T353" i="5" s="1"/>
  <c r="J16" i="5"/>
  <c r="J354" i="5" s="1"/>
  <c r="K16" i="5"/>
  <c r="K354" i="5" s="1"/>
  <c r="L16" i="5"/>
  <c r="L354" i="5" s="1"/>
  <c r="M16" i="5"/>
  <c r="M354" i="5" s="1"/>
  <c r="N16" i="5"/>
  <c r="N354" i="5" s="1"/>
  <c r="O16" i="5"/>
  <c r="O354" i="5" s="1"/>
  <c r="P16" i="5"/>
  <c r="P354" i="5" s="1"/>
  <c r="Q16" i="5"/>
  <c r="Q354" i="5" s="1"/>
  <c r="R16" i="5"/>
  <c r="R354" i="5" s="1"/>
  <c r="S16" i="5"/>
  <c r="S354" i="5" s="1"/>
  <c r="T16" i="5"/>
  <c r="T354" i="5" s="1"/>
  <c r="K33" i="5"/>
  <c r="L33" i="5"/>
  <c r="M33" i="5"/>
  <c r="N33" i="5"/>
  <c r="O33" i="5"/>
  <c r="P33" i="5"/>
  <c r="Q33" i="5"/>
  <c r="R33" i="5"/>
  <c r="S33" i="5"/>
  <c r="T33" i="5"/>
  <c r="J33" i="5"/>
  <c r="Q355" i="5" l="1"/>
  <c r="P355" i="5"/>
  <c r="R355" i="5"/>
  <c r="J355" i="5"/>
  <c r="N355" i="5"/>
  <c r="L355" i="5"/>
  <c r="M355" i="5"/>
  <c r="O355" i="5"/>
  <c r="K355" i="5"/>
  <c r="T355" i="5"/>
  <c r="S355" i="5"/>
  <c r="K13" i="5"/>
  <c r="L13" i="5"/>
  <c r="M13" i="5"/>
  <c r="N13" i="5"/>
  <c r="N92" i="5" s="1"/>
  <c r="O13" i="5"/>
  <c r="O92" i="5" s="1"/>
  <c r="P13" i="5"/>
  <c r="P92" i="5" s="1"/>
  <c r="Q13" i="5"/>
  <c r="Q92" i="5" s="1"/>
  <c r="R13" i="5"/>
  <c r="R92" i="5" s="1"/>
  <c r="S13" i="5"/>
  <c r="S92" i="5" s="1"/>
  <c r="T13" i="5"/>
  <c r="T92" i="5" s="1"/>
  <c r="K17" i="5"/>
  <c r="K409" i="5" s="1"/>
  <c r="L17" i="5"/>
  <c r="L409" i="5" s="1"/>
  <c r="M17" i="5"/>
  <c r="M409" i="5" s="1"/>
  <c r="N17" i="5"/>
  <c r="N409" i="5" s="1"/>
  <c r="O17" i="5"/>
  <c r="O409" i="5" s="1"/>
  <c r="P17" i="5"/>
  <c r="P409" i="5" s="1"/>
  <c r="Q17" i="5"/>
  <c r="Q409" i="5" s="1"/>
  <c r="R17" i="5"/>
  <c r="R409" i="5" s="1"/>
  <c r="S17" i="5"/>
  <c r="S409" i="5" s="1"/>
  <c r="T17" i="5"/>
  <c r="T409" i="5" s="1"/>
  <c r="J17" i="5"/>
  <c r="J409" i="5" s="1"/>
  <c r="J13" i="5"/>
  <c r="J91" i="5" l="1"/>
  <c r="I724" i="5"/>
  <c r="H724" i="5"/>
  <c r="AD152" i="19" l="1"/>
  <c r="G9" i="11"/>
  <c r="J140" i="5"/>
  <c r="K91" i="5"/>
  <c r="Y709" i="5"/>
  <c r="Z709" i="5" s="1"/>
  <c r="P781" i="5"/>
  <c r="Q781" i="5"/>
  <c r="R781" i="5"/>
  <c r="S781" i="5"/>
  <c r="T781" i="5"/>
  <c r="P782" i="5"/>
  <c r="Q782" i="5"/>
  <c r="R782" i="5"/>
  <c r="S782" i="5"/>
  <c r="T782" i="5"/>
  <c r="I470" i="5"/>
  <c r="J3" i="2"/>
  <c r="K3" i="2" s="1"/>
  <c r="L3" i="2" s="1"/>
  <c r="M3" i="2" s="1"/>
  <c r="N3" i="2" s="1"/>
  <c r="O3" i="2" s="1"/>
  <c r="P3" i="2" s="1"/>
  <c r="Q3" i="2" s="1"/>
  <c r="R3" i="2" s="1"/>
  <c r="S3" i="2" s="1"/>
  <c r="T3" i="2" s="1"/>
  <c r="U3" i="2" s="1"/>
  <c r="V3" i="2" s="1"/>
  <c r="W3" i="2" s="1"/>
  <c r="X3" i="2" s="1"/>
  <c r="J2" i="2"/>
  <c r="J45" i="2" s="1"/>
  <c r="I426" i="5"/>
  <c r="D49" i="10"/>
  <c r="D54" i="10" s="1"/>
  <c r="E49" i="10"/>
  <c r="E54" i="10" s="1"/>
  <c r="F49" i="10"/>
  <c r="F54" i="10" s="1"/>
  <c r="C49" i="10"/>
  <c r="C56" i="10" s="1"/>
  <c r="F47" i="10"/>
  <c r="D44" i="10"/>
  <c r="E44" i="10"/>
  <c r="F44" i="10"/>
  <c r="C44" i="10"/>
  <c r="E40" i="10"/>
  <c r="F40" i="10"/>
  <c r="E41" i="10"/>
  <c r="F41" i="10"/>
  <c r="D41" i="10"/>
  <c r="D40" i="10"/>
  <c r="D43" i="10"/>
  <c r="E43" i="10"/>
  <c r="F43" i="10"/>
  <c r="C43" i="10"/>
  <c r="G241" i="5"/>
  <c r="H246" i="5" s="1"/>
  <c r="H263" i="5" s="1"/>
  <c r="J37" i="5"/>
  <c r="J203" i="5" s="1"/>
  <c r="H244" i="5"/>
  <c r="E72" i="8" s="1"/>
  <c r="J694" i="5"/>
  <c r="J78" i="22" s="1"/>
  <c r="I513" i="5"/>
  <c r="J507" i="5" s="1"/>
  <c r="H795" i="5"/>
  <c r="H793" i="5"/>
  <c r="H792" i="5"/>
  <c r="I795" i="5"/>
  <c r="E12" i="11" s="1"/>
  <c r="I793" i="5"/>
  <c r="I792" i="5"/>
  <c r="K781" i="5"/>
  <c r="L781" i="5"/>
  <c r="M781" i="5"/>
  <c r="N781" i="5"/>
  <c r="O781" i="5"/>
  <c r="K782" i="5"/>
  <c r="L782" i="5"/>
  <c r="M782" i="5"/>
  <c r="N782" i="5"/>
  <c r="O782" i="5"/>
  <c r="J781" i="5"/>
  <c r="J782" i="5"/>
  <c r="K693" i="5"/>
  <c r="L693" i="5" s="1"/>
  <c r="M693" i="5" s="1"/>
  <c r="N693" i="5" s="1"/>
  <c r="O693" i="5" s="1"/>
  <c r="P693" i="5" s="1"/>
  <c r="Q693" i="5" s="1"/>
  <c r="R693" i="5" s="1"/>
  <c r="S693" i="5" s="1"/>
  <c r="T693" i="5" s="1"/>
  <c r="H513" i="5"/>
  <c r="I507" i="5" s="1"/>
  <c r="H470" i="5"/>
  <c r="I468" i="5" s="1"/>
  <c r="H490" i="5"/>
  <c r="I488" i="5" s="1"/>
  <c r="H485" i="5"/>
  <c r="I483" i="5" s="1"/>
  <c r="I490" i="5"/>
  <c r="J488" i="5" s="1"/>
  <c r="I485" i="5"/>
  <c r="H460" i="5"/>
  <c r="H457" i="5"/>
  <c r="H454" i="5"/>
  <c r="I460" i="5"/>
  <c r="I457" i="5"/>
  <c r="I454" i="5"/>
  <c r="I434" i="5"/>
  <c r="H434" i="5"/>
  <c r="I430" i="5" s="1"/>
  <c r="I735" i="5"/>
  <c r="H735" i="5"/>
  <c r="I734" i="5"/>
  <c r="H734" i="5"/>
  <c r="L91" i="5" l="1"/>
  <c r="AF152" i="19" s="1"/>
  <c r="AE152" i="19"/>
  <c r="G117" i="8"/>
  <c r="G106" i="8"/>
  <c r="H270" i="5"/>
  <c r="I264" i="5"/>
  <c r="K140" i="5"/>
  <c r="I252" i="5"/>
  <c r="B41" i="11"/>
  <c r="J603" i="5"/>
  <c r="J42" i="5"/>
  <c r="K694" i="5"/>
  <c r="J783" i="5"/>
  <c r="J823" i="5" s="1"/>
  <c r="K2" i="2"/>
  <c r="K45" i="2" s="1"/>
  <c r="J35" i="2"/>
  <c r="J5" i="2"/>
  <c r="I247" i="5"/>
  <c r="H253" i="5"/>
  <c r="E73" i="8" s="1"/>
  <c r="J94" i="5"/>
  <c r="J142" i="5"/>
  <c r="K37" i="5"/>
  <c r="I628" i="5"/>
  <c r="J517" i="5"/>
  <c r="J521" i="5" s="1"/>
  <c r="F77" i="8"/>
  <c r="D71" i="8"/>
  <c r="G244" i="5"/>
  <c r="D72" i="8" s="1"/>
  <c r="I484" i="5"/>
  <c r="I489" i="5"/>
  <c r="C54" i="10"/>
  <c r="H54" i="10" s="1"/>
  <c r="F56" i="10"/>
  <c r="E56" i="10"/>
  <c r="D56" i="10"/>
  <c r="I493" i="5"/>
  <c r="I495" i="5"/>
  <c r="H495" i="5"/>
  <c r="I469" i="5"/>
  <c r="I794" i="5"/>
  <c r="E11" i="11" s="1"/>
  <c r="E13" i="11" s="1"/>
  <c r="J468" i="5"/>
  <c r="C112" i="11" s="1"/>
  <c r="H794" i="5"/>
  <c r="H796" i="5" s="1"/>
  <c r="J483" i="5"/>
  <c r="J430" i="5"/>
  <c r="I736" i="5"/>
  <c r="H736" i="5"/>
  <c r="I395" i="5"/>
  <c r="I405" i="5" s="1"/>
  <c r="I394" i="5"/>
  <c r="H395" i="5"/>
  <c r="H405" i="5" s="1"/>
  <c r="H394" i="5"/>
  <c r="I392" i="5"/>
  <c r="I393" i="5"/>
  <c r="I414" i="5" s="1"/>
  <c r="H393" i="5"/>
  <c r="H414" i="5" s="1"/>
  <c r="H392" i="5"/>
  <c r="H426" i="5"/>
  <c r="I422" i="5" s="1"/>
  <c r="J422" i="5"/>
  <c r="I175" i="5"/>
  <c r="H160" i="5"/>
  <c r="I161" i="5"/>
  <c r="J246" i="5"/>
  <c r="J263" i="5" s="1"/>
  <c r="J241" i="5"/>
  <c r="G71" i="8" s="1"/>
  <c r="I242" i="5"/>
  <c r="AD137" i="19" l="1"/>
  <c r="J45" i="22"/>
  <c r="J19" i="22"/>
  <c r="M91" i="5"/>
  <c r="AG152" i="19" s="1"/>
  <c r="L140" i="5"/>
  <c r="AD3" i="19"/>
  <c r="AD4" i="19" s="1"/>
  <c r="I271" i="5"/>
  <c r="E74" i="8"/>
  <c r="J264" i="5"/>
  <c r="J270" i="5"/>
  <c r="E47" i="11"/>
  <c r="E45" i="11"/>
  <c r="E43" i="11"/>
  <c r="E44" i="11"/>
  <c r="I408" i="5"/>
  <c r="I423" i="5" s="1"/>
  <c r="I771" i="5" s="1"/>
  <c r="I400" i="5"/>
  <c r="H408" i="5"/>
  <c r="H400" i="5"/>
  <c r="I821" i="5"/>
  <c r="AB7" i="19"/>
  <c r="AB25" i="19"/>
  <c r="K603" i="5"/>
  <c r="AE137" i="19" s="1"/>
  <c r="K42" i="5"/>
  <c r="L694" i="5"/>
  <c r="K783" i="5"/>
  <c r="K823" i="5" s="1"/>
  <c r="I254" i="5"/>
  <c r="J143" i="5"/>
  <c r="I56" i="8" s="1"/>
  <c r="I55" i="8"/>
  <c r="L2" i="2"/>
  <c r="L45" i="2" s="1"/>
  <c r="K5" i="2"/>
  <c r="K35" i="2"/>
  <c r="K94" i="5"/>
  <c r="K95" i="5" s="1"/>
  <c r="K142" i="5"/>
  <c r="J253" i="5"/>
  <c r="G73" i="8" s="1"/>
  <c r="K520" i="5"/>
  <c r="K522" i="5" s="1"/>
  <c r="L37" i="5"/>
  <c r="H161" i="5"/>
  <c r="I186" i="5" s="1"/>
  <c r="I250" i="5"/>
  <c r="F78" i="8" s="1"/>
  <c r="I796" i="5"/>
  <c r="C23" i="7"/>
  <c r="K246" i="5"/>
  <c r="K263" i="5" s="1"/>
  <c r="I494" i="5"/>
  <c r="I778" i="5" s="1"/>
  <c r="I785" i="5" s="1"/>
  <c r="K241" i="5"/>
  <c r="H71" i="8" s="1"/>
  <c r="I737" i="5"/>
  <c r="J493" i="5"/>
  <c r="I431" i="5"/>
  <c r="I772" i="5" s="1"/>
  <c r="H396" i="5"/>
  <c r="I396" i="5"/>
  <c r="E7" i="11" s="1"/>
  <c r="J249" i="5"/>
  <c r="D7" i="11" l="1"/>
  <c r="M140" i="5"/>
  <c r="N91" i="5"/>
  <c r="AH152" i="19" s="1"/>
  <c r="AE3" i="19"/>
  <c r="AE4" i="19" s="1"/>
  <c r="AB22" i="19"/>
  <c r="AC118" i="19"/>
  <c r="J271" i="5"/>
  <c r="G74" i="8"/>
  <c r="K264" i="5"/>
  <c r="K270" i="5"/>
  <c r="J256" i="5"/>
  <c r="J200" i="5" s="1"/>
  <c r="G103" i="8" s="1"/>
  <c r="J266" i="5"/>
  <c r="AC22" i="19"/>
  <c r="M32" i="2"/>
  <c r="AE120" i="19"/>
  <c r="I826" i="5"/>
  <c r="AC7" i="19"/>
  <c r="AC122" i="19"/>
  <c r="AC25" i="19"/>
  <c r="H397" i="5"/>
  <c r="I739" i="5"/>
  <c r="I741" i="5" s="1"/>
  <c r="L603" i="5"/>
  <c r="AF137" i="19" s="1"/>
  <c r="L42" i="5"/>
  <c r="M694" i="5"/>
  <c r="L783" i="5"/>
  <c r="L823" i="5" s="1"/>
  <c r="I802" i="5"/>
  <c r="I403" i="5"/>
  <c r="L203" i="8"/>
  <c r="H403" i="5"/>
  <c r="K203" i="8"/>
  <c r="J254" i="5"/>
  <c r="I774" i="5"/>
  <c r="K143" i="5"/>
  <c r="J56" i="8" s="1"/>
  <c r="J55" i="8"/>
  <c r="M2" i="2"/>
  <c r="M45" i="2" s="1"/>
  <c r="L5" i="2"/>
  <c r="L35" i="2"/>
  <c r="I173" i="5"/>
  <c r="L94" i="5"/>
  <c r="L95" i="5" s="1"/>
  <c r="L142" i="5"/>
  <c r="K253" i="5"/>
  <c r="H73" i="8" s="1"/>
  <c r="M37" i="5"/>
  <c r="L520" i="5"/>
  <c r="L522" i="5" s="1"/>
  <c r="C25" i="7"/>
  <c r="D23" i="7" s="1"/>
  <c r="K249" i="5"/>
  <c r="L246" i="5"/>
  <c r="L263" i="5" s="1"/>
  <c r="L241" i="5"/>
  <c r="I71" i="8" s="1"/>
  <c r="I397" i="5"/>
  <c r="J250" i="5"/>
  <c r="G78" i="8" s="1"/>
  <c r="J161" i="5"/>
  <c r="N140" i="5" l="1"/>
  <c r="O91" i="5"/>
  <c r="AI152" i="19" s="1"/>
  <c r="AF3" i="19"/>
  <c r="AF4" i="19" s="1"/>
  <c r="G75" i="8"/>
  <c r="G77" i="8" s="1"/>
  <c r="J258" i="5"/>
  <c r="F169" i="8"/>
  <c r="K271" i="5"/>
  <c r="H74" i="8"/>
  <c r="K256" i="5"/>
  <c r="K266" i="5"/>
  <c r="L270" i="5"/>
  <c r="L264" i="5"/>
  <c r="J267" i="5"/>
  <c r="J273" i="5"/>
  <c r="F174" i="8" s="1"/>
  <c r="AF120" i="19"/>
  <c r="H281" i="5"/>
  <c r="H282" i="5" s="1"/>
  <c r="H284" i="5"/>
  <c r="H291" i="5" s="1"/>
  <c r="H162" i="5"/>
  <c r="H164" i="5" s="1"/>
  <c r="H203" i="5" s="1"/>
  <c r="I820" i="5"/>
  <c r="AC161" i="19"/>
  <c r="K205" i="8"/>
  <c r="L205" i="8"/>
  <c r="M603" i="5"/>
  <c r="AG137" i="19" s="1"/>
  <c r="M42" i="5"/>
  <c r="O140" i="5"/>
  <c r="N694" i="5"/>
  <c r="M783" i="5"/>
  <c r="M823" i="5" s="1"/>
  <c r="K254" i="5"/>
  <c r="L143" i="5"/>
  <c r="K56" i="8" s="1"/>
  <c r="K55" i="8"/>
  <c r="N2" i="2"/>
  <c r="N45" i="2" s="1"/>
  <c r="M35" i="2"/>
  <c r="M5" i="2"/>
  <c r="M94" i="5"/>
  <c r="M95" i="5" s="1"/>
  <c r="M142" i="5"/>
  <c r="L253" i="5"/>
  <c r="I73" i="8" s="1"/>
  <c r="M520" i="5"/>
  <c r="M522" i="5" s="1"/>
  <c r="N37" i="5"/>
  <c r="K250" i="5"/>
  <c r="H78" i="8" s="1"/>
  <c r="D25" i="7"/>
  <c r="D24" i="7"/>
  <c r="K161" i="5"/>
  <c r="M246" i="5"/>
  <c r="M263" i="5" s="1"/>
  <c r="L249" i="5"/>
  <c r="M241" i="5"/>
  <c r="J71" i="8" s="1"/>
  <c r="J173" i="5"/>
  <c r="P91" i="5" l="1"/>
  <c r="AJ152" i="19" s="1"/>
  <c r="K258" i="5"/>
  <c r="G169" i="8"/>
  <c r="AG3" i="19"/>
  <c r="AG4" i="19" s="1"/>
  <c r="AC117" i="19"/>
  <c r="K200" i="5"/>
  <c r="H103" i="8" s="1"/>
  <c r="H75" i="8"/>
  <c r="H77" i="8" s="1"/>
  <c r="J274" i="5"/>
  <c r="G76" i="8"/>
  <c r="G114" i="8"/>
  <c r="L271" i="5"/>
  <c r="I74" i="8"/>
  <c r="E106" i="8"/>
  <c r="E117" i="8"/>
  <c r="L256" i="5"/>
  <c r="L258" i="5" s="1"/>
  <c r="L266" i="5"/>
  <c r="M264" i="5"/>
  <c r="M270" i="5"/>
  <c r="K273" i="5"/>
  <c r="G174" i="8" s="1"/>
  <c r="K267" i="5"/>
  <c r="AG120" i="19"/>
  <c r="H179" i="5"/>
  <c r="E97" i="8"/>
  <c r="H201" i="5"/>
  <c r="N603" i="5"/>
  <c r="AH137" i="19" s="1"/>
  <c r="N42" i="5"/>
  <c r="Q91" i="5"/>
  <c r="AK152" i="19" s="1"/>
  <c r="P140" i="5"/>
  <c r="O694" i="5"/>
  <c r="N783" i="5"/>
  <c r="N823" i="5" s="1"/>
  <c r="L254" i="5"/>
  <c r="M143" i="5"/>
  <c r="L56" i="8" s="1"/>
  <c r="L55" i="8"/>
  <c r="O2" i="2"/>
  <c r="O45" i="2" s="1"/>
  <c r="N35" i="2"/>
  <c r="N5" i="2"/>
  <c r="K173" i="5"/>
  <c r="N94" i="5"/>
  <c r="N95" i="5" s="1"/>
  <c r="N142" i="5"/>
  <c r="M253" i="5"/>
  <c r="J73" i="8" s="1"/>
  <c r="O37" i="5"/>
  <c r="N520" i="5"/>
  <c r="N522" i="5" s="1"/>
  <c r="N246" i="5"/>
  <c r="N263" i="5" s="1"/>
  <c r="L250" i="5"/>
  <c r="I78" i="8" s="1"/>
  <c r="L161" i="5"/>
  <c r="M249" i="5"/>
  <c r="N241" i="5"/>
  <c r="K71" i="8" s="1"/>
  <c r="L200" i="5" l="1"/>
  <c r="I103" i="8" s="1"/>
  <c r="I75" i="8"/>
  <c r="I77" i="8" s="1"/>
  <c r="AH3" i="19"/>
  <c r="AH4" i="19" s="1"/>
  <c r="K274" i="5"/>
  <c r="H114" i="8"/>
  <c r="H76" i="8"/>
  <c r="M271" i="5"/>
  <c r="J74" i="8"/>
  <c r="E104" i="8"/>
  <c r="E110" i="8" s="1"/>
  <c r="E115" i="8"/>
  <c r="E118" i="8" s="1"/>
  <c r="M256" i="5"/>
  <c r="M258" i="5" s="1"/>
  <c r="M266" i="5"/>
  <c r="N270" i="5"/>
  <c r="N264" i="5"/>
  <c r="L273" i="5"/>
  <c r="L267" i="5"/>
  <c r="AH120" i="19"/>
  <c r="O603" i="5"/>
  <c r="AI137" i="19" s="1"/>
  <c r="O42" i="5"/>
  <c r="R91" i="5"/>
  <c r="AL152" i="19" s="1"/>
  <c r="Q140" i="5"/>
  <c r="O783" i="5"/>
  <c r="O823" i="5" s="1"/>
  <c r="P694" i="5"/>
  <c r="M254" i="5"/>
  <c r="N143" i="5"/>
  <c r="M56" i="8" s="1"/>
  <c r="M55" i="8"/>
  <c r="P2" i="2"/>
  <c r="P45" i="2" s="1"/>
  <c r="O35" i="2"/>
  <c r="O5" i="2"/>
  <c r="O94" i="5"/>
  <c r="O95" i="5" s="1"/>
  <c r="O142" i="5"/>
  <c r="N253" i="5"/>
  <c r="K73" i="8" s="1"/>
  <c r="O520" i="5"/>
  <c r="O522" i="5" s="1"/>
  <c r="P37" i="5"/>
  <c r="O246" i="5"/>
  <c r="O263" i="5" s="1"/>
  <c r="L173" i="5"/>
  <c r="N249" i="5"/>
  <c r="O241" i="5"/>
  <c r="L71" i="8" s="1"/>
  <c r="M161" i="5"/>
  <c r="M250" i="5"/>
  <c r="J78" i="8" s="1"/>
  <c r="M200" i="5" l="1"/>
  <c r="J103" i="8" s="1"/>
  <c r="AI3" i="19"/>
  <c r="AI4" i="19" s="1"/>
  <c r="N271" i="5"/>
  <c r="K74" i="8"/>
  <c r="L274" i="5"/>
  <c r="I76" i="8"/>
  <c r="I114" i="8"/>
  <c r="J75" i="8"/>
  <c r="J77" i="8" s="1"/>
  <c r="O270" i="5"/>
  <c r="O264" i="5"/>
  <c r="M273" i="5"/>
  <c r="M267" i="5"/>
  <c r="N256" i="5"/>
  <c r="N258" i="5" s="1"/>
  <c r="N266" i="5"/>
  <c r="AI120" i="19"/>
  <c r="P603" i="5"/>
  <c r="AJ137" i="19" s="1"/>
  <c r="P42" i="5"/>
  <c r="S91" i="5"/>
  <c r="AM152" i="19" s="1"/>
  <c r="R140" i="5"/>
  <c r="P783" i="5"/>
  <c r="P823" i="5" s="1"/>
  <c r="Q694" i="5"/>
  <c r="N254" i="5"/>
  <c r="O143" i="5"/>
  <c r="N56" i="8" s="1"/>
  <c r="N55" i="8"/>
  <c r="Q2" i="2"/>
  <c r="Q45" i="2" s="1"/>
  <c r="P5" i="2"/>
  <c r="P35" i="2"/>
  <c r="P94" i="5"/>
  <c r="P95" i="5" s="1"/>
  <c r="P142" i="5"/>
  <c r="O253" i="5"/>
  <c r="L73" i="8" s="1"/>
  <c r="Q37" i="5"/>
  <c r="P520" i="5"/>
  <c r="P522" i="5" s="1"/>
  <c r="P241" i="5"/>
  <c r="M71" i="8" s="1"/>
  <c r="P246" i="5"/>
  <c r="P263" i="5" s="1"/>
  <c r="M173" i="5"/>
  <c r="O249" i="5"/>
  <c r="N250" i="5"/>
  <c r="K78" i="8" s="1"/>
  <c r="N161" i="5"/>
  <c r="AJ3" i="19" l="1"/>
  <c r="AJ4" i="19" s="1"/>
  <c r="M274" i="5"/>
  <c r="J76" i="8"/>
  <c r="J114" i="8"/>
  <c r="O271" i="5"/>
  <c r="L74" i="8"/>
  <c r="K75" i="8"/>
  <c r="K77" i="8" s="1"/>
  <c r="P270" i="5"/>
  <c r="P264" i="5"/>
  <c r="N273" i="5"/>
  <c r="N267" i="5"/>
  <c r="O256" i="5"/>
  <c r="O258" i="5" s="1"/>
  <c r="O266" i="5"/>
  <c r="N200" i="5"/>
  <c r="K103" i="8" s="1"/>
  <c r="P613" i="5"/>
  <c r="AJ120" i="19"/>
  <c r="Q603" i="5"/>
  <c r="AK137" i="19" s="1"/>
  <c r="Q42" i="5"/>
  <c r="T91" i="5"/>
  <c r="S140" i="5"/>
  <c r="Q783" i="5"/>
  <c r="Q823" i="5" s="1"/>
  <c r="R694" i="5"/>
  <c r="O254" i="5"/>
  <c r="P143" i="5"/>
  <c r="O56" i="8" s="1"/>
  <c r="O55" i="8"/>
  <c r="R2" i="2"/>
  <c r="R45" i="2" s="1"/>
  <c r="Q5" i="2"/>
  <c r="Q35" i="2"/>
  <c r="Q94" i="5"/>
  <c r="Q95" i="5" s="1"/>
  <c r="Q142" i="5"/>
  <c r="P253" i="5"/>
  <c r="M73" i="8" s="1"/>
  <c r="Q520" i="5"/>
  <c r="Q522" i="5" s="1"/>
  <c r="R37" i="5"/>
  <c r="Q246" i="5"/>
  <c r="Q263" i="5" s="1"/>
  <c r="P249" i="5"/>
  <c r="Q241" i="5"/>
  <c r="N71" i="8" s="1"/>
  <c r="N173" i="5"/>
  <c r="O250" i="5"/>
  <c r="L78" i="8" s="1"/>
  <c r="O161" i="5"/>
  <c r="E10" i="8"/>
  <c r="F10" i="8" s="1"/>
  <c r="G10" i="8" s="1"/>
  <c r="H10" i="8" s="1"/>
  <c r="E11" i="8"/>
  <c r="F11" i="8"/>
  <c r="G11" i="8"/>
  <c r="E12" i="8"/>
  <c r="F12" i="8"/>
  <c r="G12" i="8"/>
  <c r="E13" i="8"/>
  <c r="F13" i="8"/>
  <c r="G13" i="8"/>
  <c r="D13" i="8"/>
  <c r="D12" i="8"/>
  <c r="D11" i="8"/>
  <c r="F161" i="8"/>
  <c r="G161" i="8" s="1"/>
  <c r="C18" i="8"/>
  <c r="H18" i="8"/>
  <c r="C19" i="8"/>
  <c r="H19" i="8"/>
  <c r="C20" i="8"/>
  <c r="H12" i="8"/>
  <c r="H13" i="8"/>
  <c r="H11" i="8"/>
  <c r="C12" i="8"/>
  <c r="C13" i="8"/>
  <c r="C14" i="8"/>
  <c r="C11" i="8"/>
  <c r="H17" i="8"/>
  <c r="C17" i="8"/>
  <c r="T140" i="5" l="1"/>
  <c r="AN152" i="19"/>
  <c r="AK3" i="19"/>
  <c r="AK4" i="19" s="1"/>
  <c r="P271" i="5"/>
  <c r="M74" i="8"/>
  <c r="N274" i="5"/>
  <c r="K114" i="8"/>
  <c r="K76" i="8"/>
  <c r="O273" i="5"/>
  <c r="O267" i="5"/>
  <c r="O200" i="5"/>
  <c r="L103" i="8" s="1"/>
  <c r="P256" i="5"/>
  <c r="P258" i="5" s="1"/>
  <c r="P266" i="5"/>
  <c r="L75" i="8"/>
  <c r="L77" i="8" s="1"/>
  <c r="Q270" i="5"/>
  <c r="Q264" i="5"/>
  <c r="Q613" i="5"/>
  <c r="AK120" i="19"/>
  <c r="R603" i="5"/>
  <c r="AL137" i="19" s="1"/>
  <c r="R42" i="5"/>
  <c r="R783" i="5"/>
  <c r="R823" i="5" s="1"/>
  <c r="S694" i="5"/>
  <c r="P254" i="5"/>
  <c r="Q143" i="5"/>
  <c r="P56" i="8" s="1"/>
  <c r="P55" i="8"/>
  <c r="S2" i="2"/>
  <c r="S45" i="2" s="1"/>
  <c r="R5" i="2"/>
  <c r="R35" i="2"/>
  <c r="R94" i="5"/>
  <c r="R95" i="5" s="1"/>
  <c r="R142" i="5"/>
  <c r="Q253" i="5"/>
  <c r="N73" i="8" s="1"/>
  <c r="S37" i="5"/>
  <c r="R520" i="5"/>
  <c r="R522" i="5" s="1"/>
  <c r="Q249" i="5"/>
  <c r="R241" i="5"/>
  <c r="O71" i="8" s="1"/>
  <c r="P161" i="5"/>
  <c r="P250" i="5"/>
  <c r="M78" i="8" s="1"/>
  <c r="R246" i="5"/>
  <c r="R263" i="5" s="1"/>
  <c r="O173" i="5"/>
  <c r="J318" i="5"/>
  <c r="J341" i="5" s="1"/>
  <c r="K307" i="5"/>
  <c r="L307" i="5" s="1"/>
  <c r="M307" i="5" s="1"/>
  <c r="N307" i="5" s="1"/>
  <c r="O307" i="5" s="1"/>
  <c r="P307" i="5" s="1"/>
  <c r="J306" i="5"/>
  <c r="F303" i="5"/>
  <c r="G303" i="5"/>
  <c r="H303" i="5"/>
  <c r="E303" i="5"/>
  <c r="H217" i="5"/>
  <c r="G217" i="5"/>
  <c r="H213" i="5"/>
  <c r="I114" i="5"/>
  <c r="H114" i="5"/>
  <c r="F114" i="5"/>
  <c r="G114" i="5"/>
  <c r="F53" i="5"/>
  <c r="G53" i="5"/>
  <c r="H53" i="5"/>
  <c r="E53" i="5"/>
  <c r="J51" i="5"/>
  <c r="K51" i="5" s="1"/>
  <c r="L51" i="5" s="1"/>
  <c r="M51" i="5" s="1"/>
  <c r="N51" i="5" s="1"/>
  <c r="O51" i="5" s="1"/>
  <c r="P51" i="5" s="1"/>
  <c r="Q51" i="5" s="1"/>
  <c r="R51" i="5" s="1"/>
  <c r="S51" i="5" s="1"/>
  <c r="T51" i="5" s="1"/>
  <c r="AL3" i="19" l="1"/>
  <c r="AL4" i="19" s="1"/>
  <c r="Q271" i="5"/>
  <c r="N74" i="8"/>
  <c r="O274" i="5"/>
  <c r="L114" i="8"/>
  <c r="L76" i="8"/>
  <c r="Q256" i="5"/>
  <c r="Q258" i="5" s="1"/>
  <c r="Q266" i="5"/>
  <c r="P267" i="5"/>
  <c r="P273" i="5"/>
  <c r="P200" i="5"/>
  <c r="M103" i="8" s="1"/>
  <c r="R270" i="5"/>
  <c r="R264" i="5"/>
  <c r="M75" i="8"/>
  <c r="M77" i="8" s="1"/>
  <c r="R613" i="5"/>
  <c r="AL120" i="19"/>
  <c r="S603" i="5"/>
  <c r="AM137" i="19" s="1"/>
  <c r="S42" i="5"/>
  <c r="H55" i="5"/>
  <c r="G46" i="8"/>
  <c r="G49" i="8" s="1"/>
  <c r="G55" i="5"/>
  <c r="F46" i="8"/>
  <c r="F49" i="8" s="1"/>
  <c r="E55" i="5"/>
  <c r="D46" i="8"/>
  <c r="D49" i="8" s="1"/>
  <c r="F55" i="5"/>
  <c r="E46" i="8"/>
  <c r="E49" i="8" s="1"/>
  <c r="S783" i="5"/>
  <c r="S823" i="5" s="1"/>
  <c r="T694" i="5"/>
  <c r="T783" i="5" s="1"/>
  <c r="T823" i="5" s="1"/>
  <c r="J342" i="5"/>
  <c r="K318" i="5"/>
  <c r="K341" i="5" s="1"/>
  <c r="G221" i="5"/>
  <c r="D82" i="8" s="1"/>
  <c r="D81" i="8"/>
  <c r="H223" i="5"/>
  <c r="H233" i="5" s="1"/>
  <c r="Q254" i="5"/>
  <c r="R143" i="5"/>
  <c r="Q56" i="8" s="1"/>
  <c r="Q55" i="8"/>
  <c r="T2" i="2"/>
  <c r="T45" i="2" s="1"/>
  <c r="S5" i="2"/>
  <c r="S35" i="2"/>
  <c r="S94" i="5"/>
  <c r="S95" i="5" s="1"/>
  <c r="S142" i="5"/>
  <c r="R253" i="5"/>
  <c r="O73" i="8" s="1"/>
  <c r="S520" i="5"/>
  <c r="S522" i="5" s="1"/>
  <c r="Q161" i="5"/>
  <c r="Q250" i="5"/>
  <c r="N78" i="8" s="1"/>
  <c r="T37" i="5"/>
  <c r="T42" i="5" s="1"/>
  <c r="S246" i="5"/>
  <c r="S263" i="5" s="1"/>
  <c r="Q307" i="5"/>
  <c r="R307" i="5" s="1"/>
  <c r="S307" i="5" s="1"/>
  <c r="T307" i="5" s="1"/>
  <c r="R249" i="5"/>
  <c r="P173" i="5"/>
  <c r="S241" i="5"/>
  <c r="K306" i="5"/>
  <c r="L306" i="5" s="1"/>
  <c r="M306" i="5" s="1"/>
  <c r="N306" i="5" s="1"/>
  <c r="O306" i="5" s="1"/>
  <c r="P306" i="5" s="1"/>
  <c r="F304" i="5"/>
  <c r="G304" i="5"/>
  <c r="H304" i="5"/>
  <c r="G220" i="5"/>
  <c r="H220" i="5"/>
  <c r="H216" i="5"/>
  <c r="AM3" i="19" l="1"/>
  <c r="AM4" i="19" s="1"/>
  <c r="N75" i="8"/>
  <c r="N77" i="8" s="1"/>
  <c r="R271" i="5"/>
  <c r="O74" i="8"/>
  <c r="P274" i="5"/>
  <c r="M76" i="8"/>
  <c r="M114" i="8"/>
  <c r="Q200" i="5"/>
  <c r="N103" i="8" s="1"/>
  <c r="R256" i="5"/>
  <c r="R258" i="5" s="1"/>
  <c r="R266" i="5"/>
  <c r="Q267" i="5"/>
  <c r="Q273" i="5"/>
  <c r="S264" i="5"/>
  <c r="S270" i="5"/>
  <c r="S613" i="5"/>
  <c r="AN120" i="19"/>
  <c r="AM120" i="19"/>
  <c r="E54" i="8"/>
  <c r="G54" i="8"/>
  <c r="D54" i="8"/>
  <c r="F54" i="8"/>
  <c r="F56" i="5"/>
  <c r="H56" i="5"/>
  <c r="T603" i="5"/>
  <c r="AN137" i="19" s="1"/>
  <c r="G56" i="5"/>
  <c r="K342" i="5"/>
  <c r="L318" i="5"/>
  <c r="L341" i="5" s="1"/>
  <c r="E83" i="8"/>
  <c r="I234" i="5"/>
  <c r="R254" i="5"/>
  <c r="S143" i="5"/>
  <c r="R56" i="8" s="1"/>
  <c r="R55" i="8"/>
  <c r="U2" i="2"/>
  <c r="U45" i="2" s="1"/>
  <c r="T5" i="2"/>
  <c r="T35" i="2"/>
  <c r="Q173" i="5"/>
  <c r="T94" i="5"/>
  <c r="T95" i="5" s="1"/>
  <c r="T142" i="5"/>
  <c r="S253" i="5"/>
  <c r="P73" i="8" s="1"/>
  <c r="T520" i="5"/>
  <c r="T522" i="5" s="1"/>
  <c r="S249" i="5"/>
  <c r="P71" i="8"/>
  <c r="Q306" i="5"/>
  <c r="R306" i="5" s="1"/>
  <c r="S306" i="5" s="1"/>
  <c r="T306" i="5" s="1"/>
  <c r="T241" i="5"/>
  <c r="Q71" i="8" s="1"/>
  <c r="R250" i="5"/>
  <c r="O78" i="8" s="1"/>
  <c r="R161" i="5"/>
  <c r="T246" i="5"/>
  <c r="T263" i="5" s="1"/>
  <c r="H181" i="5"/>
  <c r="H178" i="5"/>
  <c r="H180" i="5"/>
  <c r="J215" i="5"/>
  <c r="J219" i="5" s="1"/>
  <c r="O75" i="8" l="1"/>
  <c r="O77" i="8"/>
  <c r="AN3" i="19"/>
  <c r="AN4" i="19" s="1"/>
  <c r="R200" i="5"/>
  <c r="O103" i="8" s="1"/>
  <c r="S271" i="5"/>
  <c r="P74" i="8"/>
  <c r="Q274" i="5"/>
  <c r="N76" i="8"/>
  <c r="N114" i="8"/>
  <c r="T264" i="5"/>
  <c r="T270" i="5"/>
  <c r="S256" i="5"/>
  <c r="S258" i="5" s="1"/>
  <c r="S266" i="5"/>
  <c r="R267" i="5"/>
  <c r="R273" i="5"/>
  <c r="T613" i="5"/>
  <c r="T253" i="5"/>
  <c r="Q73" i="8" s="1"/>
  <c r="H182" i="5"/>
  <c r="L342" i="5"/>
  <c r="M318" i="5"/>
  <c r="M341" i="5" s="1"/>
  <c r="S254" i="5"/>
  <c r="G81" i="8"/>
  <c r="T143" i="5"/>
  <c r="S56" i="8" s="1"/>
  <c r="S55" i="8"/>
  <c r="U55" i="8" s="1"/>
  <c r="V2" i="2"/>
  <c r="V45" i="2" s="1"/>
  <c r="U5" i="2"/>
  <c r="U35" i="2"/>
  <c r="I224" i="5"/>
  <c r="S250" i="5"/>
  <c r="P78" i="8" s="1"/>
  <c r="S161" i="5"/>
  <c r="T249" i="5"/>
  <c r="R173" i="5"/>
  <c r="I228" i="5"/>
  <c r="F86" i="8" s="1"/>
  <c r="I160" i="5"/>
  <c r="M220" i="5"/>
  <c r="K215" i="5"/>
  <c r="K219" i="5" s="1"/>
  <c r="R274" i="5" l="1"/>
  <c r="O76" i="8"/>
  <c r="O114" i="8"/>
  <c r="T271" i="5"/>
  <c r="Q74" i="8"/>
  <c r="S200" i="5"/>
  <c r="P103" i="8" s="1"/>
  <c r="P75" i="8"/>
  <c r="P77" i="8" s="1"/>
  <c r="T256" i="5"/>
  <c r="T258" i="5" s="1"/>
  <c r="T266" i="5"/>
  <c r="S267" i="5"/>
  <c r="S273" i="5"/>
  <c r="T254" i="5"/>
  <c r="I185" i="5"/>
  <c r="M342" i="5"/>
  <c r="N318" i="5"/>
  <c r="N341" i="5" s="1"/>
  <c r="H81" i="8"/>
  <c r="W2" i="2"/>
  <c r="W45" i="2" s="1"/>
  <c r="V5" i="2"/>
  <c r="V35" i="2"/>
  <c r="S173" i="5"/>
  <c r="I178" i="5"/>
  <c r="J223" i="5"/>
  <c r="J233" i="5" s="1"/>
  <c r="T250" i="5"/>
  <c r="Q78" i="8" s="1"/>
  <c r="T161" i="5"/>
  <c r="I172" i="5"/>
  <c r="N220" i="5"/>
  <c r="L215" i="5"/>
  <c r="L219" i="5" s="1"/>
  <c r="Q75" i="8" l="1"/>
  <c r="S75" i="8" s="1"/>
  <c r="S274" i="5"/>
  <c r="P76" i="8"/>
  <c r="P114" i="8"/>
  <c r="T200" i="5"/>
  <c r="Q103" i="8" s="1"/>
  <c r="S103" i="8" s="1"/>
  <c r="T267" i="5"/>
  <c r="T273" i="5"/>
  <c r="V161" i="5"/>
  <c r="I281" i="5"/>
  <c r="I282" i="5" s="1"/>
  <c r="I284" i="5"/>
  <c r="I162" i="5"/>
  <c r="N342" i="5"/>
  <c r="O318" i="5"/>
  <c r="O341" i="5" s="1"/>
  <c r="G83" i="8"/>
  <c r="J234" i="5"/>
  <c r="I81" i="8"/>
  <c r="X2" i="2"/>
  <c r="X45" i="2" s="1"/>
  <c r="W35" i="2"/>
  <c r="W5" i="2"/>
  <c r="T173" i="5"/>
  <c r="K223" i="5"/>
  <c r="K233" i="5" s="1"/>
  <c r="J227" i="5"/>
  <c r="J228" i="5" s="1"/>
  <c r="I181" i="5"/>
  <c r="I166" i="5"/>
  <c r="O220" i="5"/>
  <c r="P220" i="5" s="1"/>
  <c r="M215" i="5"/>
  <c r="M219" i="5" s="1"/>
  <c r="Q77" i="8" l="1"/>
  <c r="V200" i="5"/>
  <c r="T274" i="5"/>
  <c r="Q114" i="8"/>
  <c r="S114" i="8" s="1"/>
  <c r="Q76" i="8"/>
  <c r="I292" i="5"/>
  <c r="I291" i="5"/>
  <c r="I187" i="5"/>
  <c r="I174" i="5"/>
  <c r="I164" i="5"/>
  <c r="I180" i="5"/>
  <c r="I201" i="5"/>
  <c r="F97" i="8"/>
  <c r="F98" i="8" s="1"/>
  <c r="F99" i="8"/>
  <c r="O342" i="5"/>
  <c r="P318" i="5"/>
  <c r="P341" i="5" s="1"/>
  <c r="K234" i="5"/>
  <c r="H83" i="8"/>
  <c r="J81" i="8"/>
  <c r="J236" i="5"/>
  <c r="X35" i="2"/>
  <c r="X5" i="2"/>
  <c r="J160" i="5"/>
  <c r="G86" i="8"/>
  <c r="L223" i="5"/>
  <c r="L233" i="5" s="1"/>
  <c r="K227" i="5"/>
  <c r="Q220" i="5"/>
  <c r="N215" i="5"/>
  <c r="N219" i="5" s="1"/>
  <c r="F104" i="8" l="1"/>
  <c r="F115" i="8"/>
  <c r="J199" i="5"/>
  <c r="J238" i="5"/>
  <c r="J292" i="5"/>
  <c r="K292" i="5" s="1"/>
  <c r="L292" i="5" s="1"/>
  <c r="M292" i="5" s="1"/>
  <c r="N292" i="5" s="1"/>
  <c r="O292" i="5" s="1"/>
  <c r="P292" i="5" s="1"/>
  <c r="Q292" i="5" s="1"/>
  <c r="R292" i="5" s="1"/>
  <c r="S292" i="5" s="1"/>
  <c r="T292" i="5" s="1"/>
  <c r="G99" i="8"/>
  <c r="J281" i="5"/>
  <c r="J282" i="5" s="1"/>
  <c r="I179" i="5"/>
  <c r="I182" i="5" s="1"/>
  <c r="I203" i="5"/>
  <c r="P342" i="5"/>
  <c r="Q318" i="5"/>
  <c r="Q341" i="5" s="1"/>
  <c r="L234" i="5"/>
  <c r="I83" i="8"/>
  <c r="K81" i="8"/>
  <c r="K236" i="5"/>
  <c r="J237" i="5"/>
  <c r="G84" i="8"/>
  <c r="G85" i="8" s="1"/>
  <c r="J172" i="5"/>
  <c r="M223" i="5"/>
  <c r="M233" i="5" s="1"/>
  <c r="L227" i="5"/>
  <c r="K228" i="5"/>
  <c r="H86" i="8" s="1"/>
  <c r="K160" i="5"/>
  <c r="R220" i="5"/>
  <c r="O215" i="5"/>
  <c r="F117" i="8" l="1"/>
  <c r="F118" i="8" s="1"/>
  <c r="F106" i="8"/>
  <c r="F110" i="8" s="1"/>
  <c r="G102" i="8"/>
  <c r="G113" i="8"/>
  <c r="K199" i="5"/>
  <c r="K238" i="5"/>
  <c r="J162" i="5"/>
  <c r="K278" i="5"/>
  <c r="J284" i="5"/>
  <c r="J288" i="5" s="1"/>
  <c r="H99" i="8"/>
  <c r="Q342" i="5"/>
  <c r="R318" i="5"/>
  <c r="R341" i="5" s="1"/>
  <c r="M234" i="5"/>
  <c r="J83" i="8"/>
  <c r="L236" i="5"/>
  <c r="K237" i="5"/>
  <c r="H84" i="8"/>
  <c r="H85" i="8" s="1"/>
  <c r="K172" i="5"/>
  <c r="L228" i="5"/>
  <c r="I86" i="8" s="1"/>
  <c r="L160" i="5"/>
  <c r="L231" i="5"/>
  <c r="N223" i="5"/>
  <c r="N233" i="5" s="1"/>
  <c r="M227" i="5"/>
  <c r="O219" i="5"/>
  <c r="P215" i="5"/>
  <c r="S220" i="5"/>
  <c r="H102" i="8" l="1"/>
  <c r="H113" i="8"/>
  <c r="K281" i="5"/>
  <c r="K282" i="5" s="1"/>
  <c r="K162" i="5"/>
  <c r="L199" i="5"/>
  <c r="L238" i="5"/>
  <c r="J174" i="5"/>
  <c r="J170" i="5"/>
  <c r="J289" i="5"/>
  <c r="J291" i="5"/>
  <c r="I99" i="8"/>
  <c r="J201" i="5"/>
  <c r="J285" i="5"/>
  <c r="G97" i="8"/>
  <c r="G98" i="8" s="1"/>
  <c r="K284" i="5"/>
  <c r="L278" i="5"/>
  <c r="R342" i="5"/>
  <c r="S318" i="5"/>
  <c r="S341" i="5" s="1"/>
  <c r="N234" i="5"/>
  <c r="K83" i="8"/>
  <c r="L81" i="8"/>
  <c r="M236" i="5"/>
  <c r="L237" i="5"/>
  <c r="I84" i="8"/>
  <c r="I85" i="8" s="1"/>
  <c r="L172" i="5"/>
  <c r="M160" i="5"/>
  <c r="M228" i="5"/>
  <c r="J86" i="8" s="1"/>
  <c r="O223" i="5"/>
  <c r="N227" i="5"/>
  <c r="T220" i="5"/>
  <c r="Q215" i="5"/>
  <c r="P219" i="5"/>
  <c r="J119" i="5"/>
  <c r="J118" i="5"/>
  <c r="J117" i="5"/>
  <c r="I126" i="5"/>
  <c r="I125" i="5"/>
  <c r="I124" i="5"/>
  <c r="H660" i="5"/>
  <c r="H593" i="5" s="1"/>
  <c r="H659" i="5"/>
  <c r="H592" i="5" s="1"/>
  <c r="H657" i="5"/>
  <c r="H590" i="5" s="1"/>
  <c r="H656" i="5"/>
  <c r="H589" i="5" s="1"/>
  <c r="H655" i="5"/>
  <c r="H654" i="5"/>
  <c r="I660" i="5"/>
  <c r="I593" i="5" s="1"/>
  <c r="I659" i="5"/>
  <c r="I592" i="5" s="1"/>
  <c r="I657" i="5"/>
  <c r="I656" i="5"/>
  <c r="I655" i="5"/>
  <c r="I654" i="5"/>
  <c r="H644" i="5"/>
  <c r="I644" i="5"/>
  <c r="H648" i="5"/>
  <c r="I648" i="5"/>
  <c r="H649" i="5"/>
  <c r="I649" i="5"/>
  <c r="I582" i="5" s="1"/>
  <c r="H643" i="5"/>
  <c r="I643" i="5"/>
  <c r="H637" i="5"/>
  <c r="H570" i="5" s="1"/>
  <c r="H636" i="5"/>
  <c r="H569" i="5" s="1"/>
  <c r="H635" i="5"/>
  <c r="H568" i="5" s="1"/>
  <c r="I636" i="5"/>
  <c r="I569" i="5" s="1"/>
  <c r="I637" i="5"/>
  <c r="I570" i="5" s="1"/>
  <c r="I635" i="5"/>
  <c r="I568" i="5" s="1"/>
  <c r="H603" i="5"/>
  <c r="AB137" i="19" s="1"/>
  <c r="H602" i="5"/>
  <c r="AB136" i="19" s="1"/>
  <c r="H600" i="5"/>
  <c r="AB134" i="19" s="1"/>
  <c r="I603" i="5"/>
  <c r="AC137" i="19" s="1"/>
  <c r="I602" i="5"/>
  <c r="AC136" i="19" s="1"/>
  <c r="I601" i="5"/>
  <c r="AC135" i="19" s="1"/>
  <c r="I600" i="5"/>
  <c r="AC134" i="19" s="1"/>
  <c r="AC21" i="19" l="1"/>
  <c r="G115" i="8"/>
  <c r="G104" i="8"/>
  <c r="I102" i="8"/>
  <c r="I113" i="8"/>
  <c r="H645" i="5"/>
  <c r="L281" i="5"/>
  <c r="L282" i="5" s="1"/>
  <c r="L162" i="5"/>
  <c r="M199" i="5"/>
  <c r="M238" i="5"/>
  <c r="K174" i="5"/>
  <c r="K170" i="5"/>
  <c r="AC20" i="19"/>
  <c r="I645" i="5"/>
  <c r="K288" i="5"/>
  <c r="K201" i="5"/>
  <c r="K285" i="5"/>
  <c r="H97" i="8"/>
  <c r="H98" i="8" s="1"/>
  <c r="M278" i="5"/>
  <c r="L284" i="5"/>
  <c r="J99" i="8"/>
  <c r="H577" i="5"/>
  <c r="AB21" i="19"/>
  <c r="I587" i="5"/>
  <c r="AC28" i="19"/>
  <c r="H576" i="5"/>
  <c r="AB20" i="19"/>
  <c r="AB28" i="19"/>
  <c r="I581" i="5"/>
  <c r="I536" i="5"/>
  <c r="J546" i="5" s="1"/>
  <c r="H536" i="5"/>
  <c r="S342" i="5"/>
  <c r="T318" i="5"/>
  <c r="T341" i="5" s="1"/>
  <c r="P223" i="5"/>
  <c r="P227" i="5" s="1"/>
  <c r="O233" i="5"/>
  <c r="M81" i="8"/>
  <c r="N236" i="5"/>
  <c r="M237" i="5"/>
  <c r="J84" i="8"/>
  <c r="J85" i="8" s="1"/>
  <c r="I534" i="5"/>
  <c r="H57" i="8"/>
  <c r="M172" i="5"/>
  <c r="N228" i="5"/>
  <c r="K86" i="8" s="1"/>
  <c r="N160" i="5"/>
  <c r="O227" i="5"/>
  <c r="I756" i="5"/>
  <c r="I589" i="5"/>
  <c r="I757" i="5"/>
  <c r="I590" i="5"/>
  <c r="I801" i="5"/>
  <c r="I752" i="5"/>
  <c r="I576" i="5"/>
  <c r="H498" i="5"/>
  <c r="H587" i="5"/>
  <c r="H676" i="5"/>
  <c r="H581" i="5"/>
  <c r="I753" i="5"/>
  <c r="I577" i="5"/>
  <c r="I474" i="5"/>
  <c r="I473" i="5" s="1"/>
  <c r="J473" i="5" s="1"/>
  <c r="K473" i="5" s="1"/>
  <c r="I588" i="5"/>
  <c r="H474" i="5"/>
  <c r="H588" i="5"/>
  <c r="H677" i="5"/>
  <c r="H582" i="5"/>
  <c r="H625" i="5"/>
  <c r="H535" i="5"/>
  <c r="I533" i="5"/>
  <c r="I625" i="5"/>
  <c r="I535" i="5"/>
  <c r="H533" i="5"/>
  <c r="I677" i="5"/>
  <c r="I755" i="5"/>
  <c r="I676" i="5"/>
  <c r="I754" i="5"/>
  <c r="I498" i="5"/>
  <c r="I497" i="5" s="1"/>
  <c r="J497" i="5" s="1"/>
  <c r="I806" i="5"/>
  <c r="R215" i="5"/>
  <c r="Q219" i="5"/>
  <c r="H411" i="5"/>
  <c r="H674" i="5"/>
  <c r="I411" i="5"/>
  <c r="I674" i="5"/>
  <c r="I417" i="5"/>
  <c r="I418" i="5" s="1"/>
  <c r="I675" i="5"/>
  <c r="H417" i="5"/>
  <c r="H418" i="5" s="1"/>
  <c r="H675" i="5"/>
  <c r="I461" i="5"/>
  <c r="J461" i="5" s="1"/>
  <c r="I455" i="5"/>
  <c r="H455" i="5"/>
  <c r="H461" i="5"/>
  <c r="H364" i="5"/>
  <c r="I364" i="5"/>
  <c r="J364" i="5" s="1"/>
  <c r="K119" i="5"/>
  <c r="K118" i="5"/>
  <c r="L118" i="5" s="1"/>
  <c r="J120" i="5"/>
  <c r="I661" i="5"/>
  <c r="K117" i="5"/>
  <c r="H604" i="5"/>
  <c r="H661" i="5"/>
  <c r="H666" i="5" s="1"/>
  <c r="AB14" i="19" s="1"/>
  <c r="AB15" i="19" s="1"/>
  <c r="I612" i="5"/>
  <c r="I613" i="5"/>
  <c r="I604" i="5"/>
  <c r="E5" i="11" s="1"/>
  <c r="I610" i="5"/>
  <c r="J613" i="5"/>
  <c r="I62" i="5"/>
  <c r="H62" i="5"/>
  <c r="I244" i="5"/>
  <c r="F72" i="8" s="1"/>
  <c r="J71" i="5"/>
  <c r="J72" i="5"/>
  <c r="K72" i="5" s="1"/>
  <c r="J70" i="5"/>
  <c r="G77" i="5"/>
  <c r="H77" i="5"/>
  <c r="I77" i="5"/>
  <c r="G78" i="5"/>
  <c r="H78" i="5"/>
  <c r="I78" i="5"/>
  <c r="G79" i="5"/>
  <c r="H79" i="5"/>
  <c r="I79" i="5"/>
  <c r="F79" i="5"/>
  <c r="F78" i="5"/>
  <c r="F77" i="5"/>
  <c r="H133" i="5"/>
  <c r="G133" i="5"/>
  <c r="F133" i="5"/>
  <c r="H132" i="5"/>
  <c r="G132" i="5"/>
  <c r="F132" i="5"/>
  <c r="H131" i="5"/>
  <c r="G131" i="5"/>
  <c r="F131" i="5"/>
  <c r="H130" i="5"/>
  <c r="G130" i="5"/>
  <c r="F130" i="5"/>
  <c r="H94" i="5"/>
  <c r="I94" i="5"/>
  <c r="J95" i="5" s="1"/>
  <c r="G83" i="5"/>
  <c r="G84" i="5"/>
  <c r="G85" i="5"/>
  <c r="G86" i="5"/>
  <c r="F84" i="5"/>
  <c r="F85" i="5"/>
  <c r="F83" i="5"/>
  <c r="F73" i="5"/>
  <c r="F65" i="5" s="1"/>
  <c r="F86" i="5" s="1"/>
  <c r="G73" i="5"/>
  <c r="G65" i="5" s="1"/>
  <c r="H73" i="5"/>
  <c r="E73" i="5"/>
  <c r="E65" i="5" s="1"/>
  <c r="F2" i="5"/>
  <c r="G2" i="5" s="1"/>
  <c r="H2" i="5" s="1"/>
  <c r="F3" i="5"/>
  <c r="G3" i="5" s="1"/>
  <c r="H3" i="5" s="1"/>
  <c r="I73" i="5"/>
  <c r="H14" i="8" s="1"/>
  <c r="I110" i="5"/>
  <c r="I111" i="5"/>
  <c r="I120" i="5"/>
  <c r="H20" i="8" s="1"/>
  <c r="D5" i="11" l="1"/>
  <c r="D16" i="11" s="1"/>
  <c r="E16" i="11"/>
  <c r="I243" i="5"/>
  <c r="AC151" i="19"/>
  <c r="H97" i="5"/>
  <c r="H100" i="5" s="1"/>
  <c r="AB151" i="19"/>
  <c r="H632" i="5"/>
  <c r="D167" i="8"/>
  <c r="D172" i="8" s="1"/>
  <c r="D163" i="8" s="1"/>
  <c r="I632" i="5"/>
  <c r="E167" i="8"/>
  <c r="E172" i="8" s="1"/>
  <c r="E163" i="8" s="1"/>
  <c r="AB29" i="19"/>
  <c r="AB30" i="19" s="1"/>
  <c r="H406" i="5"/>
  <c r="E119" i="8"/>
  <c r="J113" i="8"/>
  <c r="J102" i="8"/>
  <c r="I606" i="5"/>
  <c r="F119" i="8"/>
  <c r="H115" i="8"/>
  <c r="H104" i="8"/>
  <c r="I646" i="5"/>
  <c r="M281" i="5"/>
  <c r="M282" i="5" s="1"/>
  <c r="M162" i="5"/>
  <c r="N199" i="5"/>
  <c r="N238" i="5"/>
  <c r="L174" i="5"/>
  <c r="L170" i="5"/>
  <c r="I578" i="5"/>
  <c r="H578" i="5"/>
  <c r="I401" i="5"/>
  <c r="I406" i="5"/>
  <c r="H445" i="5"/>
  <c r="H401" i="5"/>
  <c r="AC18" i="19"/>
  <c r="I445" i="5"/>
  <c r="L288" i="5"/>
  <c r="K289" i="5"/>
  <c r="K291" i="5"/>
  <c r="K99" i="8"/>
  <c r="L201" i="5"/>
  <c r="L285" i="5"/>
  <c r="I97" i="8"/>
  <c r="I98" i="8" s="1"/>
  <c r="M284" i="5"/>
  <c r="N278" i="5"/>
  <c r="I817" i="5"/>
  <c r="AC166" i="19"/>
  <c r="H618" i="5"/>
  <c r="AB18" i="19"/>
  <c r="I666" i="5"/>
  <c r="AC29" i="19"/>
  <c r="AC30" i="19" s="1"/>
  <c r="I816" i="5"/>
  <c r="AC160" i="19"/>
  <c r="L186" i="8"/>
  <c r="L207" i="8" s="1"/>
  <c r="M7" i="2"/>
  <c r="M33" i="2" s="1"/>
  <c r="I546" i="5"/>
  <c r="I619" i="5"/>
  <c r="I618" i="5"/>
  <c r="I620" i="5"/>
  <c r="I617" i="5"/>
  <c r="H620" i="5"/>
  <c r="H619" i="5"/>
  <c r="H617" i="5"/>
  <c r="I150" i="5"/>
  <c r="I151" i="5" s="1"/>
  <c r="H59" i="8" s="1"/>
  <c r="I102" i="5"/>
  <c r="H558" i="5"/>
  <c r="H102" i="5"/>
  <c r="I145" i="5"/>
  <c r="K186" i="8"/>
  <c r="K207" i="8" s="1"/>
  <c r="H614" i="5"/>
  <c r="H206" i="5"/>
  <c r="E108" i="8" s="1"/>
  <c r="E123" i="8"/>
  <c r="E126" i="8" s="1"/>
  <c r="I206" i="5"/>
  <c r="F123" i="8"/>
  <c r="P236" i="5"/>
  <c r="P238" i="5" s="1"/>
  <c r="P160" i="5"/>
  <c r="T342" i="5"/>
  <c r="L83" i="8"/>
  <c r="O234" i="5"/>
  <c r="Q223" i="5"/>
  <c r="Q227" i="5" s="1"/>
  <c r="Q228" i="5" s="1"/>
  <c r="N86" i="8" s="1"/>
  <c r="P233" i="5"/>
  <c r="I624" i="5"/>
  <c r="E146" i="8"/>
  <c r="H624" i="5"/>
  <c r="H633" i="5" s="1"/>
  <c r="D146" i="8"/>
  <c r="P228" i="5"/>
  <c r="M86" i="8" s="1"/>
  <c r="N81" i="8"/>
  <c r="N237" i="5"/>
  <c r="K84" i="8"/>
  <c r="K85" i="8" s="1"/>
  <c r="O236" i="5"/>
  <c r="O238" i="5" s="1"/>
  <c r="I537" i="5"/>
  <c r="I539" i="5" s="1"/>
  <c r="I504" i="5"/>
  <c r="J504" i="5" s="1"/>
  <c r="H537" i="5"/>
  <c r="H504" i="5"/>
  <c r="I424" i="5"/>
  <c r="I425" i="5" s="1"/>
  <c r="H412" i="5"/>
  <c r="N172" i="5"/>
  <c r="O160" i="5"/>
  <c r="O228" i="5"/>
  <c r="L86" i="8" s="1"/>
  <c r="I750" i="5"/>
  <c r="I768" i="5" s="1"/>
  <c r="I594" i="5"/>
  <c r="L17" i="2"/>
  <c r="H594" i="5"/>
  <c r="I545" i="5"/>
  <c r="I558" i="5"/>
  <c r="I543" i="5"/>
  <c r="L7" i="2"/>
  <c r="I508" i="5"/>
  <c r="I512" i="5" s="1"/>
  <c r="M17" i="2"/>
  <c r="I639" i="5"/>
  <c r="E6" i="11" s="1"/>
  <c r="S215" i="5"/>
  <c r="R219" i="5"/>
  <c r="I412" i="5"/>
  <c r="J412" i="5" s="1"/>
  <c r="K412" i="5" s="1"/>
  <c r="L412" i="5" s="1"/>
  <c r="M412" i="5" s="1"/>
  <c r="N412" i="5" s="1"/>
  <c r="O412" i="5" s="1"/>
  <c r="P412" i="5" s="1"/>
  <c r="Q412" i="5" s="1"/>
  <c r="R412" i="5" s="1"/>
  <c r="S412" i="5" s="1"/>
  <c r="T412" i="5" s="1"/>
  <c r="I432" i="5"/>
  <c r="I433" i="5" s="1"/>
  <c r="I471" i="5"/>
  <c r="H471" i="5"/>
  <c r="J498" i="5"/>
  <c r="J654" i="5" s="1"/>
  <c r="J29" i="22" s="1"/>
  <c r="K497" i="5"/>
  <c r="L497" i="5" s="1"/>
  <c r="H663" i="5"/>
  <c r="L473" i="5"/>
  <c r="I448" i="5"/>
  <c r="J448" i="5" s="1"/>
  <c r="I449" i="5"/>
  <c r="J449" i="5" s="1"/>
  <c r="I447" i="5"/>
  <c r="J447" i="5" s="1"/>
  <c r="K364" i="5"/>
  <c r="H447" i="5"/>
  <c r="H449" i="5"/>
  <c r="H448" i="5"/>
  <c r="I442" i="5"/>
  <c r="J442" i="5" s="1"/>
  <c r="I443" i="5"/>
  <c r="J443" i="5" s="1"/>
  <c r="I441" i="5"/>
  <c r="J441" i="5" s="1"/>
  <c r="I438" i="5"/>
  <c r="J438" i="5" s="1"/>
  <c r="I439" i="5"/>
  <c r="J439" i="5" s="1"/>
  <c r="H443" i="5"/>
  <c r="H442" i="5"/>
  <c r="H441" i="5"/>
  <c r="H438" i="5"/>
  <c r="H439" i="5"/>
  <c r="K461" i="5"/>
  <c r="I458" i="5"/>
  <c r="J458" i="5" s="1"/>
  <c r="J455" i="5"/>
  <c r="H458" i="5"/>
  <c r="H463" i="5" s="1"/>
  <c r="I415" i="5"/>
  <c r="I398" i="5"/>
  <c r="H415" i="5"/>
  <c r="H398" i="5"/>
  <c r="H352" i="5"/>
  <c r="H409" i="5"/>
  <c r="I352" i="5"/>
  <c r="I409" i="5"/>
  <c r="I359" i="5"/>
  <c r="J359" i="5" s="1"/>
  <c r="I356" i="5"/>
  <c r="I362" i="5"/>
  <c r="I361" i="5"/>
  <c r="H357" i="5"/>
  <c r="H361" i="5"/>
  <c r="H356" i="5"/>
  <c r="I357" i="5"/>
  <c r="H362" i="5"/>
  <c r="H358" i="5"/>
  <c r="I358" i="5"/>
  <c r="J358" i="5" s="1"/>
  <c r="H359" i="5"/>
  <c r="I354" i="5"/>
  <c r="J351" i="5" s="1"/>
  <c r="K351" i="5" s="1"/>
  <c r="L351" i="5" s="1"/>
  <c r="M351" i="5" s="1"/>
  <c r="N351" i="5" s="1"/>
  <c r="O351" i="5" s="1"/>
  <c r="P351" i="5" s="1"/>
  <c r="Q351" i="5" s="1"/>
  <c r="R351" i="5" s="1"/>
  <c r="S351" i="5" s="1"/>
  <c r="T351" i="5" s="1"/>
  <c r="I353" i="5"/>
  <c r="J350" i="5" s="1"/>
  <c r="K350" i="5" s="1"/>
  <c r="L350" i="5" s="1"/>
  <c r="M350" i="5" s="1"/>
  <c r="N350" i="5" s="1"/>
  <c r="O350" i="5" s="1"/>
  <c r="P350" i="5" s="1"/>
  <c r="Q350" i="5" s="1"/>
  <c r="R350" i="5" s="1"/>
  <c r="S350" i="5" s="1"/>
  <c r="T350" i="5" s="1"/>
  <c r="H354" i="5"/>
  <c r="H353" i="5"/>
  <c r="H639" i="5"/>
  <c r="H66" i="5"/>
  <c r="H243" i="5"/>
  <c r="E74" i="5"/>
  <c r="D14" i="8"/>
  <c r="H74" i="5"/>
  <c r="G14" i="8"/>
  <c r="G74" i="5"/>
  <c r="F14" i="8"/>
  <c r="F74" i="5"/>
  <c r="E14" i="8"/>
  <c r="I217" i="5"/>
  <c r="I303" i="5"/>
  <c r="J127" i="5"/>
  <c r="L119" i="5"/>
  <c r="L117" i="5"/>
  <c r="J121" i="5"/>
  <c r="J44" i="5"/>
  <c r="I53" i="5"/>
  <c r="K120" i="5"/>
  <c r="I614" i="5"/>
  <c r="I121" i="5"/>
  <c r="I127" i="5"/>
  <c r="M118" i="5"/>
  <c r="I662" i="5"/>
  <c r="I663" i="5"/>
  <c r="K613" i="5"/>
  <c r="I66" i="5"/>
  <c r="I97" i="5"/>
  <c r="I100" i="5" s="1"/>
  <c r="J73" i="5"/>
  <c r="J80" i="5" s="1"/>
  <c r="I80" i="5"/>
  <c r="I95" i="5"/>
  <c r="H80" i="5"/>
  <c r="G80" i="5"/>
  <c r="K70" i="5"/>
  <c r="L72" i="5"/>
  <c r="F80" i="5"/>
  <c r="K71" i="5"/>
  <c r="I83" i="5"/>
  <c r="H83" i="5"/>
  <c r="I112" i="5"/>
  <c r="E15" i="11" l="1"/>
  <c r="D6" i="11"/>
  <c r="D15" i="11" s="1"/>
  <c r="AC113" i="19"/>
  <c r="I650" i="5"/>
  <c r="AC114" i="19"/>
  <c r="AC14" i="19"/>
  <c r="AC15" i="19" s="1"/>
  <c r="E129" i="8"/>
  <c r="E131" i="8"/>
  <c r="E134" i="8" s="1"/>
  <c r="I104" i="8"/>
  <c r="I115" i="8"/>
  <c r="K113" i="8"/>
  <c r="K102" i="8"/>
  <c r="I579" i="5"/>
  <c r="N281" i="5"/>
  <c r="N282" i="5" s="1"/>
  <c r="N162" i="5"/>
  <c r="I355" i="5"/>
  <c r="M174" i="5"/>
  <c r="M170" i="5"/>
  <c r="AB19" i="19"/>
  <c r="AB23" i="19" s="1"/>
  <c r="AB24" i="19" s="1"/>
  <c r="H650" i="5"/>
  <c r="K199" i="8" s="1"/>
  <c r="I633" i="5"/>
  <c r="C64" i="11"/>
  <c r="H557" i="5"/>
  <c r="H566" i="5" s="1"/>
  <c r="H565" i="5"/>
  <c r="I557" i="5"/>
  <c r="I566" i="5" s="1"/>
  <c r="I565" i="5"/>
  <c r="F108" i="8"/>
  <c r="I207" i="5"/>
  <c r="M288" i="5"/>
  <c r="L289" i="5"/>
  <c r="L291" i="5"/>
  <c r="I668" i="5"/>
  <c r="M22" i="2"/>
  <c r="M23" i="2" s="1"/>
  <c r="N284" i="5"/>
  <c r="O278" i="5"/>
  <c r="M285" i="5"/>
  <c r="J97" i="8"/>
  <c r="J98" i="8" s="1"/>
  <c r="M201" i="5"/>
  <c r="L99" i="8"/>
  <c r="M47" i="2"/>
  <c r="AC19" i="19"/>
  <c r="AC23" i="19" s="1"/>
  <c r="AC24" i="19" s="1"/>
  <c r="J587" i="5"/>
  <c r="I789" i="5"/>
  <c r="J221" i="5"/>
  <c r="G82" i="8" s="1"/>
  <c r="J46" i="5"/>
  <c r="I103" i="5"/>
  <c r="I55" i="5"/>
  <c r="I56" i="5" s="1"/>
  <c r="H46" i="8"/>
  <c r="H49" i="8" s="1"/>
  <c r="H553" i="5"/>
  <c r="I553" i="5"/>
  <c r="H552" i="5"/>
  <c r="H101" i="5"/>
  <c r="I550" i="5"/>
  <c r="I551" i="5"/>
  <c r="H550" i="5"/>
  <c r="I552" i="5"/>
  <c r="I148" i="5"/>
  <c r="I149" i="5" s="1"/>
  <c r="J149" i="5" s="1"/>
  <c r="K149" i="5" s="1"/>
  <c r="L149" i="5" s="1"/>
  <c r="I146" i="5"/>
  <c r="P172" i="5"/>
  <c r="E144" i="8"/>
  <c r="L184" i="8"/>
  <c r="H572" i="5"/>
  <c r="H574" i="5" s="1"/>
  <c r="K194" i="8"/>
  <c r="I572" i="5"/>
  <c r="L194" i="8"/>
  <c r="D144" i="8"/>
  <c r="K184" i="8"/>
  <c r="H193" i="5"/>
  <c r="I196" i="5"/>
  <c r="L187" i="8"/>
  <c r="F124" i="8"/>
  <c r="F126" i="8"/>
  <c r="P237" i="5"/>
  <c r="O199" i="5"/>
  <c r="M84" i="8"/>
  <c r="P199" i="5"/>
  <c r="H194" i="5"/>
  <c r="Q160" i="5"/>
  <c r="I629" i="5"/>
  <c r="M83" i="8"/>
  <c r="P234" i="5"/>
  <c r="R223" i="5"/>
  <c r="R227" i="5" s="1"/>
  <c r="R236" i="5" s="1"/>
  <c r="Q233" i="5"/>
  <c r="H196" i="5"/>
  <c r="I547" i="5"/>
  <c r="Q236" i="5"/>
  <c r="Q238" i="5" s="1"/>
  <c r="O81" i="8"/>
  <c r="O237" i="5"/>
  <c r="L84" i="8"/>
  <c r="I195" i="5"/>
  <c r="I191" i="5"/>
  <c r="I193" i="5"/>
  <c r="I194" i="5"/>
  <c r="I167" i="5"/>
  <c r="H191" i="5"/>
  <c r="I192" i="5"/>
  <c r="H167" i="5"/>
  <c r="D162" i="8" s="1"/>
  <c r="H596" i="5"/>
  <c r="H195" i="5"/>
  <c r="H192" i="5"/>
  <c r="K504" i="5"/>
  <c r="O172" i="5"/>
  <c r="L20" i="2"/>
  <c r="I64" i="5"/>
  <c r="I87" i="5"/>
  <c r="H48" i="5"/>
  <c r="H87" i="5"/>
  <c r="I596" i="5"/>
  <c r="I595" i="5"/>
  <c r="M19" i="2" s="1"/>
  <c r="M8" i="2"/>
  <c r="I101" i="5"/>
  <c r="J101" i="5" s="1"/>
  <c r="K101" i="5" s="1"/>
  <c r="L101" i="5" s="1"/>
  <c r="M101" i="5" s="1"/>
  <c r="N101" i="5" s="1"/>
  <c r="O101" i="5" s="1"/>
  <c r="P101" i="5" s="1"/>
  <c r="Q101" i="5" s="1"/>
  <c r="R101" i="5" s="1"/>
  <c r="S101" i="5" s="1"/>
  <c r="T101" i="5" s="1"/>
  <c r="I98" i="5"/>
  <c r="M11" i="2"/>
  <c r="I799" i="5"/>
  <c r="L11" i="2"/>
  <c r="M20" i="2"/>
  <c r="M18" i="2"/>
  <c r="T215" i="5"/>
  <c r="S219" i="5"/>
  <c r="J463" i="5"/>
  <c r="I463" i="5"/>
  <c r="J303" i="5"/>
  <c r="J309" i="5" s="1"/>
  <c r="J311" i="5" s="1"/>
  <c r="J244" i="5"/>
  <c r="G72" i="8" s="1"/>
  <c r="M473" i="5"/>
  <c r="M497" i="5"/>
  <c r="K438" i="5"/>
  <c r="K443" i="5"/>
  <c r="K441" i="5"/>
  <c r="K442" i="5"/>
  <c r="K439" i="5"/>
  <c r="K447" i="5"/>
  <c r="K449" i="5"/>
  <c r="K448" i="5"/>
  <c r="K362" i="5"/>
  <c r="K359" i="5"/>
  <c r="L364" i="5"/>
  <c r="K358" i="5"/>
  <c r="L461" i="5"/>
  <c r="K455" i="5"/>
  <c r="K458" i="5"/>
  <c r="H641" i="5"/>
  <c r="L120" i="5"/>
  <c r="L121" i="5" s="1"/>
  <c r="H65" i="5"/>
  <c r="H86" i="5" s="1"/>
  <c r="H63" i="5"/>
  <c r="H84" i="5" s="1"/>
  <c r="H64" i="5"/>
  <c r="H85" i="5" s="1"/>
  <c r="I304" i="5"/>
  <c r="I309" i="5"/>
  <c r="I311" i="5" s="1"/>
  <c r="I333" i="5" s="1"/>
  <c r="J53" i="5"/>
  <c r="I46" i="8" s="1"/>
  <c r="J217" i="5"/>
  <c r="M119" i="5"/>
  <c r="K127" i="5"/>
  <c r="K121" i="5"/>
  <c r="M117" i="5"/>
  <c r="N118" i="5"/>
  <c r="I641" i="5"/>
  <c r="I640" i="5"/>
  <c r="L613" i="5"/>
  <c r="J74" i="5"/>
  <c r="I65" i="5"/>
  <c r="I67" i="5"/>
  <c r="I63" i="5"/>
  <c r="I48" i="5"/>
  <c r="J48" i="5" s="1"/>
  <c r="K48" i="5" s="1"/>
  <c r="L48" i="5" s="1"/>
  <c r="M48" i="5" s="1"/>
  <c r="N48" i="5" s="1"/>
  <c r="O48" i="5" s="1"/>
  <c r="P48" i="5" s="1"/>
  <c r="Q48" i="5" s="1"/>
  <c r="R48" i="5" s="1"/>
  <c r="S48" i="5" s="1"/>
  <c r="T48" i="5" s="1"/>
  <c r="K73" i="5"/>
  <c r="K80" i="5" s="1"/>
  <c r="K44" i="5"/>
  <c r="L70" i="5"/>
  <c r="M72" i="5"/>
  <c r="L71" i="5"/>
  <c r="I74" i="5"/>
  <c r="AC158" i="19" l="1"/>
  <c r="F129" i="8"/>
  <c r="F131" i="8"/>
  <c r="M113" i="8"/>
  <c r="M102" i="8"/>
  <c r="L113" i="8"/>
  <c r="L102" i="8"/>
  <c r="J104" i="8"/>
  <c r="J115" i="8"/>
  <c r="O281" i="5"/>
  <c r="O282" i="5" s="1"/>
  <c r="O162" i="5"/>
  <c r="R199" i="5"/>
  <c r="R238" i="5"/>
  <c r="E162" i="8"/>
  <c r="I168" i="5"/>
  <c r="N174" i="5"/>
  <c r="N170" i="5"/>
  <c r="I562" i="5"/>
  <c r="E149" i="8" s="1"/>
  <c r="M39" i="2"/>
  <c r="C88" i="11"/>
  <c r="C90" i="11" s="1"/>
  <c r="C78" i="11"/>
  <c r="C66" i="11"/>
  <c r="C70" i="11" s="1"/>
  <c r="H54" i="8"/>
  <c r="N288" i="5"/>
  <c r="M289" i="5"/>
  <c r="M291" i="5"/>
  <c r="J55" i="5"/>
  <c r="K55" i="5" s="1"/>
  <c r="L55" i="5" s="1"/>
  <c r="M55" i="5" s="1"/>
  <c r="N55" i="5" s="1"/>
  <c r="O55" i="5" s="1"/>
  <c r="P55" i="5" s="1"/>
  <c r="Q55" i="5" s="1"/>
  <c r="R55" i="5" s="1"/>
  <c r="S55" i="5" s="1"/>
  <c r="T55" i="5" s="1"/>
  <c r="M99" i="8"/>
  <c r="P278" i="5"/>
  <c r="O284" i="5"/>
  <c r="N285" i="5"/>
  <c r="K97" i="8"/>
  <c r="K98" i="8" s="1"/>
  <c r="N201" i="5"/>
  <c r="I805" i="5"/>
  <c r="I814" i="5"/>
  <c r="K221" i="5"/>
  <c r="H82" i="8" s="1"/>
  <c r="K46" i="5"/>
  <c r="L188" i="8"/>
  <c r="M9" i="2"/>
  <c r="L195" i="8"/>
  <c r="E148" i="8"/>
  <c r="I573" i="5"/>
  <c r="I574" i="5"/>
  <c r="I583" i="5"/>
  <c r="I585" i="5" s="1"/>
  <c r="L199" i="8"/>
  <c r="Q172" i="5"/>
  <c r="L191" i="8"/>
  <c r="F127" i="8"/>
  <c r="Q237" i="5"/>
  <c r="Q199" i="5"/>
  <c r="I334" i="5"/>
  <c r="I338" i="5"/>
  <c r="R160" i="5"/>
  <c r="R228" i="5"/>
  <c r="O86" i="8" s="1"/>
  <c r="F89" i="8"/>
  <c r="I313" i="5"/>
  <c r="F90" i="8" s="1"/>
  <c r="G89" i="8"/>
  <c r="J313" i="5"/>
  <c r="G90" i="8" s="1"/>
  <c r="Q234" i="5"/>
  <c r="N83" i="8"/>
  <c r="S223" i="5"/>
  <c r="S227" i="5" s="1"/>
  <c r="R233" i="5"/>
  <c r="N84" i="8"/>
  <c r="N85" i="8" s="1"/>
  <c r="P81" i="8"/>
  <c r="L85" i="8"/>
  <c r="M85" i="8"/>
  <c r="R237" i="5"/>
  <c r="O84" i="8"/>
  <c r="L504" i="5"/>
  <c r="M14" i="2"/>
  <c r="H673" i="5"/>
  <c r="H678" i="5" s="1"/>
  <c r="H583" i="5"/>
  <c r="M15" i="2"/>
  <c r="M12" i="2"/>
  <c r="L14" i="2"/>
  <c r="H727" i="5"/>
  <c r="H728" i="5" s="1"/>
  <c r="H652" i="5"/>
  <c r="T219" i="5"/>
  <c r="I727" i="5"/>
  <c r="I728" i="5" s="1"/>
  <c r="I673" i="5"/>
  <c r="I678" i="5" s="1"/>
  <c r="K463" i="5"/>
  <c r="J304" i="5"/>
  <c r="K303" i="5"/>
  <c r="K304" i="5" s="1"/>
  <c r="K244" i="5"/>
  <c r="H72" i="8" s="1"/>
  <c r="N497" i="5"/>
  <c r="N473" i="5"/>
  <c r="L442" i="5"/>
  <c r="L449" i="5"/>
  <c r="L441" i="5"/>
  <c r="L447" i="5"/>
  <c r="L439" i="5"/>
  <c r="L448" i="5"/>
  <c r="L443" i="5"/>
  <c r="L438" i="5"/>
  <c r="M364" i="5"/>
  <c r="L359" i="5"/>
  <c r="L358" i="5"/>
  <c r="L362" i="5"/>
  <c r="M461" i="5"/>
  <c r="L458" i="5"/>
  <c r="L455" i="5"/>
  <c r="L127" i="5"/>
  <c r="I86" i="5"/>
  <c r="I85" i="5"/>
  <c r="I84" i="5"/>
  <c r="M120" i="5"/>
  <c r="M121" i="5" s="1"/>
  <c r="J312" i="5"/>
  <c r="I315" i="5"/>
  <c r="K53" i="5"/>
  <c r="J46" i="8" s="1"/>
  <c r="K217" i="5"/>
  <c r="N119" i="5"/>
  <c r="N117" i="5"/>
  <c r="M149" i="5"/>
  <c r="O118" i="5"/>
  <c r="P118" i="5" s="1"/>
  <c r="I652" i="5"/>
  <c r="I651" i="5"/>
  <c r="M613" i="5"/>
  <c r="K74" i="5"/>
  <c r="J66" i="5"/>
  <c r="I49" i="5"/>
  <c r="K66" i="5"/>
  <c r="L73" i="5"/>
  <c r="L80" i="5" s="1"/>
  <c r="L44" i="5"/>
  <c r="L46" i="5" s="1"/>
  <c r="M70" i="5"/>
  <c r="M71" i="5"/>
  <c r="N72" i="5"/>
  <c r="J315" i="5" l="1"/>
  <c r="K315" i="5" s="1"/>
  <c r="L315" i="5" s="1"/>
  <c r="M315" i="5" s="1"/>
  <c r="N315" i="5" s="1"/>
  <c r="O315" i="5" s="1"/>
  <c r="P315" i="5" s="1"/>
  <c r="Q315" i="5" s="1"/>
  <c r="R315" i="5" s="1"/>
  <c r="S315" i="5" s="1"/>
  <c r="T315" i="5" s="1"/>
  <c r="F134" i="8"/>
  <c r="F132" i="8"/>
  <c r="O113" i="8"/>
  <c r="O102" i="8"/>
  <c r="K104" i="8"/>
  <c r="K115" i="8"/>
  <c r="N113" i="8"/>
  <c r="N102" i="8"/>
  <c r="C69" i="11"/>
  <c r="P281" i="5"/>
  <c r="P282" i="5" s="1"/>
  <c r="P162" i="5"/>
  <c r="O174" i="5"/>
  <c r="O170" i="5"/>
  <c r="C80" i="11"/>
  <c r="C93" i="11"/>
  <c r="C98" i="11" s="1"/>
  <c r="C85" i="11"/>
  <c r="J113" i="5"/>
  <c r="I48" i="8" s="1"/>
  <c r="I49" i="8" s="1"/>
  <c r="N291" i="5"/>
  <c r="O288" i="5"/>
  <c r="N289" i="5"/>
  <c r="P284" i="5"/>
  <c r="Q278" i="5"/>
  <c r="O285" i="5"/>
  <c r="O201" i="5"/>
  <c r="L97" i="8"/>
  <c r="L98" i="8" s="1"/>
  <c r="N99" i="8"/>
  <c r="I824" i="5"/>
  <c r="AC111" i="19"/>
  <c r="I808" i="5"/>
  <c r="AC165" i="19"/>
  <c r="L196" i="8"/>
  <c r="M13" i="2"/>
  <c r="R172" i="5"/>
  <c r="H585" i="5"/>
  <c r="L200" i="8"/>
  <c r="L201" i="8" s="1"/>
  <c r="L209" i="8" s="1"/>
  <c r="F91" i="8"/>
  <c r="I339" i="5"/>
  <c r="S160" i="5"/>
  <c r="S228" i="5"/>
  <c r="P86" i="8" s="1"/>
  <c r="S236" i="5"/>
  <c r="O85" i="8"/>
  <c r="O83" i="8"/>
  <c r="R234" i="5"/>
  <c r="T223" i="5"/>
  <c r="T233" i="5" s="1"/>
  <c r="S233" i="5"/>
  <c r="L244" i="5"/>
  <c r="I72" i="8" s="1"/>
  <c r="L221" i="5"/>
  <c r="I82" i="8" s="1"/>
  <c r="Q81" i="8"/>
  <c r="M504" i="5"/>
  <c r="K64" i="5"/>
  <c r="K87" i="5"/>
  <c r="J67" i="5"/>
  <c r="J87" i="5"/>
  <c r="K113" i="5"/>
  <c r="J48" i="8" s="1"/>
  <c r="J49" i="8" s="1"/>
  <c r="I729" i="5"/>
  <c r="H729" i="5"/>
  <c r="Q118" i="5"/>
  <c r="R118" i="5" s="1"/>
  <c r="S118" i="5" s="1"/>
  <c r="T118" i="5" s="1"/>
  <c r="L463" i="5"/>
  <c r="K309" i="5"/>
  <c r="K311" i="5" s="1"/>
  <c r="O473" i="5"/>
  <c r="P473" i="5" s="1"/>
  <c r="Q473" i="5" s="1"/>
  <c r="R473" i="5" s="1"/>
  <c r="S473" i="5" s="1"/>
  <c r="T473" i="5" s="1"/>
  <c r="O497" i="5"/>
  <c r="P497" i="5" s="1"/>
  <c r="Q497" i="5" s="1"/>
  <c r="R497" i="5" s="1"/>
  <c r="S497" i="5" s="1"/>
  <c r="T497" i="5" s="1"/>
  <c r="M443" i="5"/>
  <c r="M447" i="5"/>
  <c r="M448" i="5"/>
  <c r="M438" i="5"/>
  <c r="M449" i="5"/>
  <c r="M439" i="5"/>
  <c r="M441" i="5"/>
  <c r="M442" i="5"/>
  <c r="M358" i="5"/>
  <c r="M359" i="5"/>
  <c r="M362" i="5"/>
  <c r="N364" i="5"/>
  <c r="N461" i="5"/>
  <c r="M455" i="5"/>
  <c r="M458" i="5"/>
  <c r="M127" i="5"/>
  <c r="I321" i="5"/>
  <c r="J321" i="5"/>
  <c r="L217" i="5"/>
  <c r="L303" i="5"/>
  <c r="N120" i="5"/>
  <c r="N127" i="5" s="1"/>
  <c r="K62" i="5"/>
  <c r="O119" i="5"/>
  <c r="P119" i="5" s="1"/>
  <c r="Q119" i="5" s="1"/>
  <c r="R119" i="5" s="1"/>
  <c r="S119" i="5" s="1"/>
  <c r="T119" i="5" s="1"/>
  <c r="O117" i="5"/>
  <c r="P117" i="5" s="1"/>
  <c r="L66" i="5"/>
  <c r="L53" i="5"/>
  <c r="K46" i="8" s="1"/>
  <c r="N149" i="5"/>
  <c r="O613" i="5"/>
  <c r="N613" i="5"/>
  <c r="J64" i="5"/>
  <c r="J85" i="5" s="1"/>
  <c r="J63" i="5"/>
  <c r="J84" i="5" s="1"/>
  <c r="J62" i="5"/>
  <c r="K63" i="5"/>
  <c r="K67" i="5"/>
  <c r="L74" i="5"/>
  <c r="M73" i="5"/>
  <c r="M80" i="5" s="1"/>
  <c r="M44" i="5"/>
  <c r="M46" i="5" s="1"/>
  <c r="N70" i="5"/>
  <c r="O72" i="5"/>
  <c r="P72" i="5" s="1"/>
  <c r="Q72" i="5" s="1"/>
  <c r="R72" i="5" s="1"/>
  <c r="S72" i="5" s="1"/>
  <c r="T72" i="5" s="1"/>
  <c r="N71" i="5"/>
  <c r="K243" i="5" l="1"/>
  <c r="AE151" i="19"/>
  <c r="J243" i="5"/>
  <c r="AD151" i="19"/>
  <c r="AC121" i="19"/>
  <c r="I810" i="5"/>
  <c r="L104" i="8"/>
  <c r="L115" i="8"/>
  <c r="Q281" i="5"/>
  <c r="Q282" i="5" s="1"/>
  <c r="Q162" i="5"/>
  <c r="S237" i="5"/>
  <c r="S238" i="5"/>
  <c r="P174" i="5"/>
  <c r="P170" i="5"/>
  <c r="J112" i="5"/>
  <c r="J133" i="5" s="1"/>
  <c r="J110" i="5"/>
  <c r="J131" i="5" s="1"/>
  <c r="J111" i="5"/>
  <c r="J132" i="5" s="1"/>
  <c r="J109" i="5"/>
  <c r="AD154" i="19" s="1"/>
  <c r="J114" i="5"/>
  <c r="C95" i="11"/>
  <c r="C100" i="11" s="1"/>
  <c r="C75" i="11"/>
  <c r="K112" i="5"/>
  <c r="P288" i="5"/>
  <c r="O289" i="5"/>
  <c r="O291" i="5"/>
  <c r="O99" i="8"/>
  <c r="I828" i="5"/>
  <c r="P285" i="5"/>
  <c r="P201" i="5"/>
  <c r="M97" i="8"/>
  <c r="M98" i="8" s="1"/>
  <c r="R278" i="5"/>
  <c r="Q284" i="5"/>
  <c r="I669" i="5"/>
  <c r="M29" i="2" s="1"/>
  <c r="M25" i="2"/>
  <c r="AC31" i="19"/>
  <c r="AC168" i="19"/>
  <c r="AC170" i="19" s="1"/>
  <c r="I744" i="5"/>
  <c r="M48" i="2" s="1"/>
  <c r="I745" i="5"/>
  <c r="M49" i="2" s="1"/>
  <c r="S172" i="5"/>
  <c r="K200" i="8"/>
  <c r="K201" i="8" s="1"/>
  <c r="K209" i="8" s="1"/>
  <c r="P84" i="8"/>
  <c r="P85" i="8" s="1"/>
  <c r="S199" i="5"/>
  <c r="T227" i="5"/>
  <c r="K321" i="5"/>
  <c r="K322" i="5" s="1"/>
  <c r="H89" i="8"/>
  <c r="K313" i="5"/>
  <c r="H90" i="8" s="1"/>
  <c r="Q83" i="8"/>
  <c r="T234" i="5"/>
  <c r="S234" i="5"/>
  <c r="P83" i="8"/>
  <c r="M244" i="5"/>
  <c r="J72" i="8" s="1"/>
  <c r="M221" i="5"/>
  <c r="J82" i="8" s="1"/>
  <c r="J257" i="5"/>
  <c r="K111" i="5"/>
  <c r="K109" i="5"/>
  <c r="K110" i="5"/>
  <c r="N504" i="5"/>
  <c r="L67" i="5"/>
  <c r="L87" i="5"/>
  <c r="K114" i="5"/>
  <c r="L113" i="5"/>
  <c r="K48" i="8" s="1"/>
  <c r="K49" i="8" s="1"/>
  <c r="I730" i="5"/>
  <c r="I743" i="5"/>
  <c r="P120" i="5"/>
  <c r="P121" i="5" s="1"/>
  <c r="Q117" i="5"/>
  <c r="M463" i="5"/>
  <c r="K312" i="5"/>
  <c r="N449" i="5"/>
  <c r="N448" i="5"/>
  <c r="N438" i="5"/>
  <c r="N442" i="5"/>
  <c r="N447" i="5"/>
  <c r="N441" i="5"/>
  <c r="N439" i="5"/>
  <c r="N443" i="5"/>
  <c r="O364" i="5"/>
  <c r="P364" i="5" s="1"/>
  <c r="N359" i="5"/>
  <c r="N362" i="5"/>
  <c r="N358" i="5"/>
  <c r="O461" i="5"/>
  <c r="P461" i="5" s="1"/>
  <c r="N458" i="5"/>
  <c r="N455" i="5"/>
  <c r="L304" i="5"/>
  <c r="L309" i="5"/>
  <c r="L311" i="5" s="1"/>
  <c r="M217" i="5"/>
  <c r="M303" i="5"/>
  <c r="J322" i="5"/>
  <c r="N121" i="5"/>
  <c r="K83" i="5"/>
  <c r="L63" i="5"/>
  <c r="L84" i="5" s="1"/>
  <c r="L62" i="5"/>
  <c r="AF151" i="19" s="1"/>
  <c r="L64" i="5"/>
  <c r="L85" i="5" s="1"/>
  <c r="O120" i="5"/>
  <c r="M66" i="5"/>
  <c r="M53" i="5"/>
  <c r="L46" i="8" s="1"/>
  <c r="O149" i="5"/>
  <c r="P149" i="5" s="1"/>
  <c r="Q149" i="5" s="1"/>
  <c r="R149" i="5" s="1"/>
  <c r="S149" i="5" s="1"/>
  <c r="T149" i="5" s="1"/>
  <c r="J65" i="5"/>
  <c r="J86" i="5" s="1"/>
  <c r="K85" i="5"/>
  <c r="J83" i="5"/>
  <c r="K84" i="5"/>
  <c r="K97" i="5"/>
  <c r="K100" i="5" s="1"/>
  <c r="J97" i="5"/>
  <c r="J100" i="5" s="1"/>
  <c r="K65" i="5"/>
  <c r="N73" i="5"/>
  <c r="N80" i="5" s="1"/>
  <c r="M74" i="5"/>
  <c r="N44" i="5"/>
  <c r="N46" i="5" s="1"/>
  <c r="O70" i="5"/>
  <c r="P70" i="5" s="1"/>
  <c r="O71" i="5"/>
  <c r="P71" i="5" s="1"/>
  <c r="Q71" i="5" s="1"/>
  <c r="R71" i="5" s="1"/>
  <c r="S71" i="5" s="1"/>
  <c r="T71" i="5" s="1"/>
  <c r="J47" i="8" l="1"/>
  <c r="AE154" i="19"/>
  <c r="M115" i="8"/>
  <c r="M104" i="8"/>
  <c r="P113" i="8"/>
  <c r="P102" i="8"/>
  <c r="M26" i="2"/>
  <c r="M27" i="2"/>
  <c r="J145" i="5"/>
  <c r="J146" i="5" s="1"/>
  <c r="I47" i="8"/>
  <c r="K133" i="5"/>
  <c r="K131" i="5"/>
  <c r="R281" i="5"/>
  <c r="R282" i="5" s="1"/>
  <c r="R162" i="5"/>
  <c r="T160" i="5"/>
  <c r="T172" i="5" s="1"/>
  <c r="U227" i="5"/>
  <c r="Q174" i="5"/>
  <c r="Q170" i="5"/>
  <c r="I53" i="8"/>
  <c r="I54" i="8" s="1"/>
  <c r="J130" i="5"/>
  <c r="K132" i="5"/>
  <c r="L112" i="5"/>
  <c r="L133" i="5" s="1"/>
  <c r="Q288" i="5"/>
  <c r="P289" i="5"/>
  <c r="P291" i="5"/>
  <c r="Q201" i="5"/>
  <c r="Q285" i="5"/>
  <c r="N97" i="8"/>
  <c r="N98" i="8" s="1"/>
  <c r="M40" i="2"/>
  <c r="E240" i="8" s="1"/>
  <c r="M30" i="2"/>
  <c r="S278" i="5"/>
  <c r="R284" i="5"/>
  <c r="Q99" i="8"/>
  <c r="P99" i="8"/>
  <c r="J53" i="8"/>
  <c r="J54" i="8" s="1"/>
  <c r="K130" i="5"/>
  <c r="K145" i="5"/>
  <c r="T228" i="5"/>
  <c r="Q86" i="8" s="1"/>
  <c r="T236" i="5"/>
  <c r="I89" i="8"/>
  <c r="L313" i="5"/>
  <c r="I90" i="8" s="1"/>
  <c r="N244" i="5"/>
  <c r="K72" i="8" s="1"/>
  <c r="N221" i="5"/>
  <c r="K82" i="8" s="1"/>
  <c r="K257" i="5"/>
  <c r="O504" i="5"/>
  <c r="M67" i="5"/>
  <c r="M87" i="5"/>
  <c r="L110" i="5"/>
  <c r="L131" i="5" s="1"/>
  <c r="L114" i="5"/>
  <c r="L109" i="5"/>
  <c r="L111" i="5"/>
  <c r="L132" i="5" s="1"/>
  <c r="M113" i="5"/>
  <c r="L48" i="8" s="1"/>
  <c r="L49" i="8" s="1"/>
  <c r="J102" i="5"/>
  <c r="J98" i="5"/>
  <c r="K102" i="5"/>
  <c r="K533" i="5" s="1"/>
  <c r="K98" i="5"/>
  <c r="Q461" i="5"/>
  <c r="Q364" i="5"/>
  <c r="R117" i="5"/>
  <c r="Q120" i="5"/>
  <c r="Q127" i="5" s="1"/>
  <c r="Q70" i="5"/>
  <c r="P73" i="5"/>
  <c r="P127" i="5"/>
  <c r="N463" i="5"/>
  <c r="O447" i="5"/>
  <c r="P447" i="5" s="1"/>
  <c r="O439" i="5"/>
  <c r="P439" i="5" s="1"/>
  <c r="O441" i="5"/>
  <c r="P441" i="5" s="1"/>
  <c r="O442" i="5"/>
  <c r="P442" i="5" s="1"/>
  <c r="O438" i="5"/>
  <c r="P438" i="5" s="1"/>
  <c r="O443" i="5"/>
  <c r="P443" i="5" s="1"/>
  <c r="O448" i="5"/>
  <c r="P448" i="5" s="1"/>
  <c r="O449" i="5"/>
  <c r="P449" i="5" s="1"/>
  <c r="O358" i="5"/>
  <c r="P358" i="5" s="1"/>
  <c r="P362" i="5"/>
  <c r="O359" i="5"/>
  <c r="P359" i="5" s="1"/>
  <c r="O455" i="5"/>
  <c r="P455" i="5" s="1"/>
  <c r="O458" i="5"/>
  <c r="P458" i="5" s="1"/>
  <c r="L97" i="5"/>
  <c r="L100" i="5" s="1"/>
  <c r="L243" i="5"/>
  <c r="M304" i="5"/>
  <c r="M309" i="5"/>
  <c r="M311" i="5" s="1"/>
  <c r="L321" i="5"/>
  <c r="L312" i="5"/>
  <c r="L83" i="5"/>
  <c r="N217" i="5"/>
  <c r="N303" i="5"/>
  <c r="M62" i="5"/>
  <c r="AG151" i="19" s="1"/>
  <c r="L65" i="5"/>
  <c r="L86" i="5" s="1"/>
  <c r="M64" i="5"/>
  <c r="M85" i="5" s="1"/>
  <c r="M63" i="5"/>
  <c r="M84" i="5" s="1"/>
  <c r="O127" i="5"/>
  <c r="O121" i="5"/>
  <c r="N66" i="5"/>
  <c r="N53" i="5"/>
  <c r="M46" i="8" s="1"/>
  <c r="K86" i="5"/>
  <c r="O73" i="5"/>
  <c r="O80" i="5" s="1"/>
  <c r="N74" i="5"/>
  <c r="O44" i="5"/>
  <c r="K47" i="8" l="1"/>
  <c r="AF154" i="19"/>
  <c r="N104" i="8"/>
  <c r="N115" i="8"/>
  <c r="J148" i="5"/>
  <c r="J150" i="5" s="1"/>
  <c r="J151" i="5" s="1"/>
  <c r="I59" i="8" s="1"/>
  <c r="V160" i="5"/>
  <c r="K146" i="5"/>
  <c r="S281" i="5"/>
  <c r="S282" i="5" s="1"/>
  <c r="S162" i="5"/>
  <c r="T199" i="5"/>
  <c r="T238" i="5"/>
  <c r="R174" i="5"/>
  <c r="R170" i="5"/>
  <c r="M114" i="5"/>
  <c r="R288" i="5"/>
  <c r="Q289" i="5"/>
  <c r="Q291" i="5"/>
  <c r="R201" i="5"/>
  <c r="O97" i="8"/>
  <c r="O98" i="8" s="1"/>
  <c r="R285" i="5"/>
  <c r="S284" i="5"/>
  <c r="T278" i="5"/>
  <c r="O221" i="5"/>
  <c r="L82" i="8" s="1"/>
  <c r="O46" i="5"/>
  <c r="L130" i="5"/>
  <c r="K53" i="8"/>
  <c r="K54" i="8" s="1"/>
  <c r="K148" i="5"/>
  <c r="K150" i="5" s="1"/>
  <c r="L145" i="5"/>
  <c r="L146" i="5" s="1"/>
  <c r="T237" i="5"/>
  <c r="Q84" i="8"/>
  <c r="M313" i="5"/>
  <c r="J90" i="8" s="1"/>
  <c r="J89" i="8"/>
  <c r="L257" i="5"/>
  <c r="P504" i="5"/>
  <c r="K600" i="5"/>
  <c r="AE134" i="19" s="1"/>
  <c r="J103" i="5"/>
  <c r="J533" i="5"/>
  <c r="M110" i="5"/>
  <c r="M131" i="5" s="1"/>
  <c r="M109" i="5"/>
  <c r="M112" i="5"/>
  <c r="M133" i="5" s="1"/>
  <c r="M111" i="5"/>
  <c r="M132" i="5" s="1"/>
  <c r="N64" i="5"/>
  <c r="N85" i="5" s="1"/>
  <c r="N87" i="5"/>
  <c r="K103" i="5"/>
  <c r="N113" i="5"/>
  <c r="M48" i="8" s="1"/>
  <c r="M49" i="8" s="1"/>
  <c r="L102" i="5"/>
  <c r="L533" i="5" s="1"/>
  <c r="L98" i="5"/>
  <c r="Q121" i="5"/>
  <c r="P80" i="5"/>
  <c r="Q447" i="5"/>
  <c r="S117" i="5"/>
  <c r="R120" i="5"/>
  <c r="R127" i="5" s="1"/>
  <c r="Q449" i="5"/>
  <c r="R364" i="5"/>
  <c r="Q441" i="5"/>
  <c r="R70" i="5"/>
  <c r="Q73" i="5"/>
  <c r="Q80" i="5" s="1"/>
  <c r="Q439" i="5"/>
  <c r="O244" i="5"/>
  <c r="L72" i="8" s="1"/>
  <c r="P44" i="5"/>
  <c r="Q443" i="5"/>
  <c r="P74" i="5"/>
  <c r="Q455" i="5"/>
  <c r="P463" i="5"/>
  <c r="Q359" i="5"/>
  <c r="Q438" i="5"/>
  <c r="Q458" i="5"/>
  <c r="Q362" i="5"/>
  <c r="Q358" i="5"/>
  <c r="Q448" i="5"/>
  <c r="Q442" i="5"/>
  <c r="R461" i="5"/>
  <c r="O463" i="5"/>
  <c r="M83" i="5"/>
  <c r="M243" i="5"/>
  <c r="N304" i="5"/>
  <c r="N309" i="5"/>
  <c r="N311" i="5" s="1"/>
  <c r="O217" i="5"/>
  <c r="O303" i="5"/>
  <c r="L322" i="5"/>
  <c r="M321" i="5"/>
  <c r="M312" i="5"/>
  <c r="M97" i="5"/>
  <c r="M100" i="5" s="1"/>
  <c r="N63" i="5"/>
  <c r="N84" i="5" s="1"/>
  <c r="N67" i="5"/>
  <c r="N62" i="5"/>
  <c r="AH151" i="19" s="1"/>
  <c r="M65" i="5"/>
  <c r="M86" i="5" s="1"/>
  <c r="O66" i="5"/>
  <c r="O53" i="5"/>
  <c r="N46" i="8" s="1"/>
  <c r="O74" i="5"/>
  <c r="K151" i="5" l="1"/>
  <c r="J59" i="8" s="1"/>
  <c r="L47" i="8"/>
  <c r="AG154" i="19"/>
  <c r="J534" i="5"/>
  <c r="J601" i="5" s="1"/>
  <c r="I57" i="8" s="1"/>
  <c r="Q113" i="8"/>
  <c r="S113" i="8" s="1"/>
  <c r="Q102" i="8"/>
  <c r="S102" i="8" s="1"/>
  <c r="O104" i="8"/>
  <c r="O115" i="8"/>
  <c r="T162" i="5"/>
  <c r="T170" i="5" s="1"/>
  <c r="U279" i="5"/>
  <c r="V199" i="5"/>
  <c r="S174" i="5"/>
  <c r="S170" i="5"/>
  <c r="N111" i="5"/>
  <c r="N132" i="5" s="1"/>
  <c r="T281" i="5"/>
  <c r="T282" i="5" s="1"/>
  <c r="S288" i="5"/>
  <c r="S291" i="5" s="1"/>
  <c r="R289" i="5"/>
  <c r="R291" i="5"/>
  <c r="S201" i="5"/>
  <c r="P97" i="8"/>
  <c r="P98" i="8" s="1"/>
  <c r="S285" i="5"/>
  <c r="T284" i="5"/>
  <c r="K534" i="5"/>
  <c r="K535" i="5" s="1"/>
  <c r="K558" i="5" s="1"/>
  <c r="P221" i="5"/>
  <c r="M82" i="8" s="1"/>
  <c r="P46" i="5"/>
  <c r="L148" i="5"/>
  <c r="L150" i="5" s="1"/>
  <c r="L534" i="5" s="1"/>
  <c r="L53" i="8"/>
  <c r="L54" i="8" s="1"/>
  <c r="M130" i="5"/>
  <c r="M145" i="5"/>
  <c r="M146" i="5" s="1"/>
  <c r="Q85" i="8"/>
  <c r="S84" i="8"/>
  <c r="N313" i="5"/>
  <c r="K90" i="8" s="1"/>
  <c r="K89" i="8"/>
  <c r="M257" i="5"/>
  <c r="Q504" i="5"/>
  <c r="J600" i="5"/>
  <c r="J543" i="5"/>
  <c r="K543" i="5"/>
  <c r="L600" i="5"/>
  <c r="AF134" i="19" s="1"/>
  <c r="L543" i="5"/>
  <c r="N112" i="5"/>
  <c r="N133" i="5" s="1"/>
  <c r="N110" i="5"/>
  <c r="N131" i="5" s="1"/>
  <c r="N114" i="5"/>
  <c r="O67" i="5"/>
  <c r="O87" i="5"/>
  <c r="N109" i="5"/>
  <c r="L103" i="5"/>
  <c r="M102" i="5"/>
  <c r="M98" i="5"/>
  <c r="O113" i="5"/>
  <c r="N48" i="8" s="1"/>
  <c r="N49" i="8" s="1"/>
  <c r="R121" i="5"/>
  <c r="Q74" i="5"/>
  <c r="R441" i="5"/>
  <c r="Q44" i="5"/>
  <c r="P303" i="5"/>
  <c r="P53" i="5"/>
  <c r="O46" i="8" s="1"/>
  <c r="P66" i="5"/>
  <c r="P87" i="5" s="1"/>
  <c r="P244" i="5"/>
  <c r="M72" i="8" s="1"/>
  <c r="P217" i="5"/>
  <c r="R458" i="5"/>
  <c r="R438" i="5"/>
  <c r="T117" i="5"/>
  <c r="S120" i="5"/>
  <c r="S127" i="5" s="1"/>
  <c r="R448" i="5"/>
  <c r="R455" i="5"/>
  <c r="Q463" i="5"/>
  <c r="R358" i="5"/>
  <c r="S364" i="5"/>
  <c r="T364" i="5" s="1"/>
  <c r="R443" i="5"/>
  <c r="R449" i="5"/>
  <c r="S461" i="5"/>
  <c r="S70" i="5"/>
  <c r="R73" i="5"/>
  <c r="R80" i="5" s="1"/>
  <c r="R362" i="5"/>
  <c r="R442" i="5"/>
  <c r="R359" i="5"/>
  <c r="R439" i="5"/>
  <c r="R447" i="5"/>
  <c r="N83" i="5"/>
  <c r="N243" i="5"/>
  <c r="N97" i="5"/>
  <c r="N100" i="5" s="1"/>
  <c r="O309" i="5"/>
  <c r="O311" i="5" s="1"/>
  <c r="O304" i="5"/>
  <c r="N321" i="5"/>
  <c r="N312" i="5"/>
  <c r="M322" i="5"/>
  <c r="N65" i="5"/>
  <c r="N86" i="5" s="1"/>
  <c r="O62" i="5"/>
  <c r="AI151" i="19" s="1"/>
  <c r="O64" i="5"/>
  <c r="O85" i="5" s="1"/>
  <c r="O63" i="5"/>
  <c r="O84" i="5" s="1"/>
  <c r="J611" i="5" l="1"/>
  <c r="I58" i="8" s="1"/>
  <c r="J535" i="5"/>
  <c r="J544" i="5"/>
  <c r="AD134" i="19"/>
  <c r="J43" i="22"/>
  <c r="AD135" i="19"/>
  <c r="J44" i="22"/>
  <c r="M47" i="8"/>
  <c r="AH154" i="19"/>
  <c r="P104" i="8"/>
  <c r="P115" i="8"/>
  <c r="K601" i="5"/>
  <c r="O112" i="5"/>
  <c r="O133" i="5" s="1"/>
  <c r="T174" i="5"/>
  <c r="V162" i="5"/>
  <c r="T288" i="5"/>
  <c r="T289" i="5" s="1"/>
  <c r="S289" i="5"/>
  <c r="K544" i="5"/>
  <c r="L151" i="5"/>
  <c r="K59" i="8" s="1"/>
  <c r="T201" i="5"/>
  <c r="Q97" i="8"/>
  <c r="T285" i="5"/>
  <c r="Q221" i="5"/>
  <c r="N82" i="8" s="1"/>
  <c r="Q46" i="5"/>
  <c r="M148" i="5"/>
  <c r="M150" i="5" s="1"/>
  <c r="M151" i="5" s="1"/>
  <c r="L59" i="8" s="1"/>
  <c r="N130" i="5"/>
  <c r="M53" i="8"/>
  <c r="M54" i="8" s="1"/>
  <c r="N145" i="5"/>
  <c r="N146" i="5" s="1"/>
  <c r="J602" i="5"/>
  <c r="L601" i="5"/>
  <c r="J537" i="5"/>
  <c r="K537" i="5"/>
  <c r="L535" i="5"/>
  <c r="L545" i="5" s="1"/>
  <c r="O313" i="5"/>
  <c r="L90" i="8" s="1"/>
  <c r="L89" i="8"/>
  <c r="K610" i="5"/>
  <c r="J610" i="5"/>
  <c r="L544" i="5"/>
  <c r="L610" i="5"/>
  <c r="J545" i="5"/>
  <c r="R504" i="5"/>
  <c r="K545" i="5"/>
  <c r="J558" i="5"/>
  <c r="M103" i="5"/>
  <c r="M533" i="5"/>
  <c r="O109" i="5"/>
  <c r="O111" i="5"/>
  <c r="O132" i="5" s="1"/>
  <c r="O114" i="5"/>
  <c r="O110" i="5"/>
  <c r="O131" i="5" s="1"/>
  <c r="N102" i="5"/>
  <c r="N533" i="5" s="1"/>
  <c r="N98" i="5"/>
  <c r="P113" i="5"/>
  <c r="O48" i="8" s="1"/>
  <c r="O49" i="8" s="1"/>
  <c r="S121" i="5"/>
  <c r="R74" i="5"/>
  <c r="S448" i="5"/>
  <c r="T461" i="5"/>
  <c r="S449" i="5"/>
  <c r="T120" i="5"/>
  <c r="T127" i="5" s="1"/>
  <c r="R44" i="5"/>
  <c r="Q303" i="5"/>
  <c r="Q53" i="5"/>
  <c r="P46" i="8" s="1"/>
  <c r="Q66" i="5"/>
  <c r="Q87" i="5" s="1"/>
  <c r="Q244" i="5"/>
  <c r="N72" i="8" s="1"/>
  <c r="Q217" i="5"/>
  <c r="S358" i="5"/>
  <c r="S458" i="5"/>
  <c r="S455" i="5"/>
  <c r="R463" i="5"/>
  <c r="T70" i="5"/>
  <c r="S73" i="5"/>
  <c r="S80" i="5" s="1"/>
  <c r="S439" i="5"/>
  <c r="S359" i="5"/>
  <c r="P309" i="5"/>
  <c r="P311" i="5" s="1"/>
  <c r="P304" i="5"/>
  <c r="S443" i="5"/>
  <c r="S362" i="5"/>
  <c r="P63" i="5"/>
  <c r="P84" i="5" s="1"/>
  <c r="P67" i="5"/>
  <c r="P64" i="5"/>
  <c r="P85" i="5" s="1"/>
  <c r="P62" i="5"/>
  <c r="AJ151" i="19" s="1"/>
  <c r="S442" i="5"/>
  <c r="S447" i="5"/>
  <c r="S438" i="5"/>
  <c r="S441" i="5"/>
  <c r="O83" i="5"/>
  <c r="O243" i="5"/>
  <c r="N322" i="5"/>
  <c r="O321" i="5"/>
  <c r="O312" i="5"/>
  <c r="O97" i="5"/>
  <c r="O100" i="5" s="1"/>
  <c r="O65" i="5"/>
  <c r="O86" i="5" s="1"/>
  <c r="J42" i="22" l="1"/>
  <c r="J18" i="22"/>
  <c r="K57" i="8"/>
  <c r="AF135" i="19"/>
  <c r="N47" i="8"/>
  <c r="AI154" i="19"/>
  <c r="J612" i="5"/>
  <c r="AD136" i="19"/>
  <c r="J57" i="8"/>
  <c r="AE135" i="19"/>
  <c r="Q115" i="8"/>
  <c r="S115" i="8" s="1"/>
  <c r="Q104" i="8"/>
  <c r="S104" i="8" s="1"/>
  <c r="V201" i="5"/>
  <c r="K611" i="5"/>
  <c r="J58" i="8" s="1"/>
  <c r="K602" i="5"/>
  <c r="P112" i="5"/>
  <c r="P133" i="5" s="1"/>
  <c r="T291" i="5"/>
  <c r="S97" i="8"/>
  <c r="Q98" i="8"/>
  <c r="M534" i="5"/>
  <c r="M535" i="5" s="1"/>
  <c r="K552" i="5"/>
  <c r="J191" i="5"/>
  <c r="R221" i="5"/>
  <c r="O82" i="8" s="1"/>
  <c r="R46" i="5"/>
  <c r="J552" i="5"/>
  <c r="J192" i="5"/>
  <c r="N53" i="8"/>
  <c r="N54" i="8" s="1"/>
  <c r="O130" i="5"/>
  <c r="N148" i="5"/>
  <c r="N150" i="5" s="1"/>
  <c r="N151" i="5" s="1"/>
  <c r="M59" i="8" s="1"/>
  <c r="O145" i="5"/>
  <c r="O146" i="5" s="1"/>
  <c r="K547" i="5"/>
  <c r="J625" i="5"/>
  <c r="J547" i="5"/>
  <c r="J193" i="5"/>
  <c r="L611" i="5"/>
  <c r="K58" i="8" s="1"/>
  <c r="J604" i="5"/>
  <c r="L602" i="5"/>
  <c r="AF136" i="19" s="1"/>
  <c r="J195" i="5"/>
  <c r="K553" i="5"/>
  <c r="K550" i="5"/>
  <c r="K192" i="5"/>
  <c r="K191" i="5"/>
  <c r="K551" i="5"/>
  <c r="K195" i="5"/>
  <c r="K193" i="5"/>
  <c r="L537" i="5"/>
  <c r="J553" i="5"/>
  <c r="J551" i="5"/>
  <c r="J550" i="5"/>
  <c r="L558" i="5"/>
  <c r="P313" i="5"/>
  <c r="M90" i="8" s="1"/>
  <c r="M89" i="8"/>
  <c r="N257" i="5"/>
  <c r="O257" i="5"/>
  <c r="S504" i="5"/>
  <c r="M600" i="5"/>
  <c r="AG134" i="19" s="1"/>
  <c r="M543" i="5"/>
  <c r="N600" i="5"/>
  <c r="AH134" i="19" s="1"/>
  <c r="N543" i="5"/>
  <c r="P111" i="5"/>
  <c r="P132" i="5" s="1"/>
  <c r="O102" i="5"/>
  <c r="O98" i="5"/>
  <c r="P114" i="5"/>
  <c r="Q113" i="5"/>
  <c r="P48" i="8" s="1"/>
  <c r="P49" i="8" s="1"/>
  <c r="P109" i="5"/>
  <c r="P110" i="5"/>
  <c r="P131" i="5" s="1"/>
  <c r="N103" i="5"/>
  <c r="S74" i="5"/>
  <c r="P65" i="5"/>
  <c r="P86" i="5" s="1"/>
  <c r="T121" i="5"/>
  <c r="Q67" i="5"/>
  <c r="Q64" i="5"/>
  <c r="Q85" i="5" s="1"/>
  <c r="Q63" i="5"/>
  <c r="Q84" i="5" s="1"/>
  <c r="Q62" i="5"/>
  <c r="AK151" i="19" s="1"/>
  <c r="T447" i="5"/>
  <c r="R53" i="5"/>
  <c r="Q46" i="8" s="1"/>
  <c r="R303" i="5"/>
  <c r="S44" i="5"/>
  <c r="R66" i="5"/>
  <c r="R87" i="5" s="1"/>
  <c r="R244" i="5"/>
  <c r="O72" i="8" s="1"/>
  <c r="R217" i="5"/>
  <c r="T442" i="5"/>
  <c r="T73" i="5"/>
  <c r="T80" i="5" s="1"/>
  <c r="T458" i="5"/>
  <c r="T449" i="5"/>
  <c r="T439" i="5"/>
  <c r="T443" i="5"/>
  <c r="P83" i="5"/>
  <c r="P97" i="5"/>
  <c r="P100" i="5" s="1"/>
  <c r="P243" i="5"/>
  <c r="T359" i="5"/>
  <c r="T441" i="5"/>
  <c r="T358" i="5"/>
  <c r="T448" i="5"/>
  <c r="T455" i="5"/>
  <c r="S463" i="5"/>
  <c r="T362" i="5"/>
  <c r="Q304" i="5"/>
  <c r="Q309" i="5"/>
  <c r="Q311" i="5" s="1"/>
  <c r="P312" i="5"/>
  <c r="P321" i="5"/>
  <c r="T438" i="5"/>
  <c r="O322" i="5"/>
  <c r="G5" i="11" l="1"/>
  <c r="I5" i="11" s="1"/>
  <c r="J20" i="22"/>
  <c r="J46" i="22"/>
  <c r="O47" i="8"/>
  <c r="AJ154" i="19"/>
  <c r="K604" i="5"/>
  <c r="AE18" i="19" s="1"/>
  <c r="AE136" i="19"/>
  <c r="F146" i="8"/>
  <c r="F167" i="8"/>
  <c r="L552" i="5"/>
  <c r="V537" i="5"/>
  <c r="J657" i="5"/>
  <c r="J32" i="22" s="1"/>
  <c r="K625" i="5"/>
  <c r="K612" i="5"/>
  <c r="Q110" i="5"/>
  <c r="Q131" i="5" s="1"/>
  <c r="N7" i="2"/>
  <c r="N8" i="2" s="1"/>
  <c r="AD18" i="19"/>
  <c r="N534" i="5"/>
  <c r="N535" i="5" s="1"/>
  <c r="M601" i="5"/>
  <c r="M544" i="5"/>
  <c r="S221" i="5"/>
  <c r="P82" i="8" s="1"/>
  <c r="S46" i="5"/>
  <c r="M188" i="8"/>
  <c r="N9" i="2"/>
  <c r="N188" i="8"/>
  <c r="O9" i="2"/>
  <c r="P130" i="5"/>
  <c r="O53" i="8"/>
  <c r="O54" i="8" s="1"/>
  <c r="O148" i="5"/>
  <c r="O150" i="5" s="1"/>
  <c r="O151" i="5" s="1"/>
  <c r="N59" i="8" s="1"/>
  <c r="P145" i="5"/>
  <c r="P146" i="5" s="1"/>
  <c r="J620" i="5"/>
  <c r="J618" i="5"/>
  <c r="J617" i="5"/>
  <c r="J619" i="5"/>
  <c r="J718" i="5"/>
  <c r="J614" i="5"/>
  <c r="J711" i="5"/>
  <c r="J96" i="22" s="1"/>
  <c r="J710" i="5"/>
  <c r="J95" i="22" s="1"/>
  <c r="J719" i="5"/>
  <c r="J709" i="5"/>
  <c r="J94" i="22" s="1"/>
  <c r="J414" i="5"/>
  <c r="J635" i="5"/>
  <c r="J21" i="22" s="1"/>
  <c r="J717" i="5"/>
  <c r="J636" i="5"/>
  <c r="J22" i="22" s="1"/>
  <c r="J457" i="5"/>
  <c r="J692" i="5" s="1"/>
  <c r="G123" i="8"/>
  <c r="G124" i="8" s="1"/>
  <c r="J696" i="5"/>
  <c r="J649" i="5"/>
  <c r="J27" i="22" s="1"/>
  <c r="J54" i="22" s="1"/>
  <c r="G29" i="7"/>
  <c r="J648" i="5"/>
  <c r="J26" i="22" s="1"/>
  <c r="J53" i="22" s="1"/>
  <c r="J656" i="5"/>
  <c r="J31" i="22" s="1"/>
  <c r="J695" i="5"/>
  <c r="J503" i="5"/>
  <c r="J807" i="5" s="1"/>
  <c r="J408" i="5"/>
  <c r="M186" i="8"/>
  <c r="M187" i="8" s="1"/>
  <c r="J637" i="5"/>
  <c r="L625" i="5"/>
  <c r="H146" i="8" s="1"/>
  <c r="M610" i="5"/>
  <c r="L604" i="5"/>
  <c r="L612" i="5"/>
  <c r="L553" i="5"/>
  <c r="L550" i="5"/>
  <c r="L195" i="5"/>
  <c r="L551" i="5"/>
  <c r="L193" i="5"/>
  <c r="L192" i="5"/>
  <c r="L191" i="5"/>
  <c r="L547" i="5"/>
  <c r="M537" i="5"/>
  <c r="M552" i="5" s="1"/>
  <c r="N89" i="8"/>
  <c r="Q313" i="5"/>
  <c r="N90" i="8" s="1"/>
  <c r="P257" i="5"/>
  <c r="T504" i="5"/>
  <c r="M545" i="5"/>
  <c r="M558" i="5"/>
  <c r="N610" i="5"/>
  <c r="O103" i="5"/>
  <c r="O533" i="5"/>
  <c r="Q109" i="5"/>
  <c r="Q114" i="5"/>
  <c r="Q111" i="5"/>
  <c r="Q132" i="5" s="1"/>
  <c r="Q112" i="5"/>
  <c r="Q133" i="5" s="1"/>
  <c r="P102" i="5"/>
  <c r="P533" i="5" s="1"/>
  <c r="P98" i="5"/>
  <c r="R113" i="5"/>
  <c r="Q48" i="8" s="1"/>
  <c r="Q49" i="8" s="1"/>
  <c r="T74" i="5"/>
  <c r="Q65" i="5"/>
  <c r="Q86" i="5" s="1"/>
  <c r="T44" i="5"/>
  <c r="T66" i="5" s="1"/>
  <c r="S303" i="5"/>
  <c r="S53" i="5"/>
  <c r="R46" i="8" s="1"/>
  <c r="S66" i="5"/>
  <c r="S87" i="5" s="1"/>
  <c r="S244" i="5"/>
  <c r="P72" i="8" s="1"/>
  <c r="S217" i="5"/>
  <c r="R67" i="5"/>
  <c r="R62" i="5"/>
  <c r="AL151" i="19" s="1"/>
  <c r="R64" i="5"/>
  <c r="R85" i="5" s="1"/>
  <c r="R63" i="5"/>
  <c r="R84" i="5" s="1"/>
  <c r="R304" i="5"/>
  <c r="R309" i="5"/>
  <c r="R311" i="5" s="1"/>
  <c r="Q97" i="5"/>
  <c r="Q100" i="5" s="1"/>
  <c r="Q83" i="5"/>
  <c r="Q243" i="5"/>
  <c r="Q312" i="5"/>
  <c r="Q321" i="5"/>
  <c r="T463" i="5"/>
  <c r="P322" i="5"/>
  <c r="K619" i="5" l="1"/>
  <c r="K408" i="5"/>
  <c r="K457" i="5"/>
  <c r="K692" i="5" s="1"/>
  <c r="N186" i="8"/>
  <c r="N187" i="8" s="1"/>
  <c r="K710" i="5"/>
  <c r="K503" i="5"/>
  <c r="K807" i="5" s="1"/>
  <c r="AE32" i="19" s="1"/>
  <c r="K617" i="5"/>
  <c r="K637" i="5"/>
  <c r="K570" i="5" s="1"/>
  <c r="K656" i="5"/>
  <c r="K589" i="5" s="1"/>
  <c r="K696" i="5"/>
  <c r="K764" i="5" s="1"/>
  <c r="K618" i="5"/>
  <c r="K649" i="5"/>
  <c r="K582" i="5" s="1"/>
  <c r="O7" i="2"/>
  <c r="O8" i="2" s="1"/>
  <c r="K711" i="5"/>
  <c r="J764" i="5"/>
  <c r="Y696" i="5" s="1"/>
  <c r="Z696" i="5" s="1"/>
  <c r="J81" i="22"/>
  <c r="J765" i="5"/>
  <c r="J102" i="22"/>
  <c r="J766" i="5"/>
  <c r="J103" i="22"/>
  <c r="J570" i="5"/>
  <c r="J23" i="22"/>
  <c r="J762" i="5"/>
  <c r="Y692" i="5" s="1"/>
  <c r="Z692" i="5" s="1"/>
  <c r="J76" i="22"/>
  <c r="J767" i="5"/>
  <c r="J104" i="22"/>
  <c r="J759" i="5"/>
  <c r="J819" i="5" s="1"/>
  <c r="AD116" i="19" s="1"/>
  <c r="J80" i="22"/>
  <c r="H123" i="8"/>
  <c r="H124" i="8" s="1"/>
  <c r="K717" i="5"/>
  <c r="K765" i="5" s="1"/>
  <c r="K657" i="5"/>
  <c r="K590" i="5" s="1"/>
  <c r="K620" i="5"/>
  <c r="K709" i="5"/>
  <c r="K718" i="5"/>
  <c r="K766" i="5" s="1"/>
  <c r="K695" i="5"/>
  <c r="K759" i="5" s="1"/>
  <c r="K648" i="5"/>
  <c r="K754" i="5" s="1"/>
  <c r="K614" i="5"/>
  <c r="K719" i="5"/>
  <c r="K767" i="5" s="1"/>
  <c r="H29" i="7"/>
  <c r="K635" i="5"/>
  <c r="K568" i="5" s="1"/>
  <c r="K414" i="5"/>
  <c r="K431" i="5" s="1"/>
  <c r="K772" i="5" s="1"/>
  <c r="K636" i="5"/>
  <c r="L57" i="8"/>
  <c r="AG135" i="19"/>
  <c r="P47" i="8"/>
  <c r="AK154" i="19"/>
  <c r="AD119" i="19"/>
  <c r="G146" i="8"/>
  <c r="G167" i="8"/>
  <c r="M602" i="5"/>
  <c r="AF18" i="19"/>
  <c r="L657" i="5"/>
  <c r="L757" i="5" s="1"/>
  <c r="R111" i="5"/>
  <c r="R132" i="5" s="1"/>
  <c r="N544" i="5"/>
  <c r="N601" i="5"/>
  <c r="AD32" i="19"/>
  <c r="AD167" i="19"/>
  <c r="M611" i="5"/>
  <c r="L58" i="8" s="1"/>
  <c r="T221" i="5"/>
  <c r="Q82" i="8" s="1"/>
  <c r="T46" i="5"/>
  <c r="O188" i="8"/>
  <c r="P9" i="2"/>
  <c r="L695" i="5"/>
  <c r="P7" i="2"/>
  <c r="O534" i="5"/>
  <c r="O535" i="5" s="1"/>
  <c r="P148" i="5"/>
  <c r="P150" i="5" s="1"/>
  <c r="P151" i="5" s="1"/>
  <c r="O59" i="8" s="1"/>
  <c r="Q130" i="5"/>
  <c r="P53" i="8"/>
  <c r="P54" i="8" s="1"/>
  <c r="Q145" i="5"/>
  <c r="Q146" i="5" s="1"/>
  <c r="L719" i="5"/>
  <c r="L711" i="5"/>
  <c r="L414" i="5"/>
  <c r="L431" i="5" s="1"/>
  <c r="L772" i="5" s="1"/>
  <c r="L635" i="5"/>
  <c r="L568" i="5" s="1"/>
  <c r="J758" i="5"/>
  <c r="L696" i="5"/>
  <c r="L656" i="5"/>
  <c r="L620" i="5"/>
  <c r="L617" i="5"/>
  <c r="L618" i="5"/>
  <c r="L648" i="5"/>
  <c r="L717" i="5"/>
  <c r="L649" i="5"/>
  <c r="L755" i="5" s="1"/>
  <c r="I123" i="8"/>
  <c r="I29" i="7"/>
  <c r="L619" i="5"/>
  <c r="L718" i="5"/>
  <c r="L709" i="5"/>
  <c r="L457" i="5"/>
  <c r="L692" i="5" s="1"/>
  <c r="L762" i="5" s="1"/>
  <c r="L408" i="5"/>
  <c r="L392" i="5" s="1"/>
  <c r="L637" i="5"/>
  <c r="L570" i="5" s="1"/>
  <c r="J568" i="5"/>
  <c r="J639" i="5"/>
  <c r="G6" i="11" s="1"/>
  <c r="J757" i="5"/>
  <c r="J590" i="5"/>
  <c r="J411" i="5"/>
  <c r="J392" i="5"/>
  <c r="J58" i="22" s="1"/>
  <c r="J423" i="5"/>
  <c r="J771" i="5" s="1"/>
  <c r="J431" i="5"/>
  <c r="J772" i="5" s="1"/>
  <c r="J417" i="5"/>
  <c r="J393" i="5"/>
  <c r="J59" i="22" s="1"/>
  <c r="J756" i="5"/>
  <c r="J589" i="5"/>
  <c r="J676" i="5"/>
  <c r="J754" i="5"/>
  <c r="J581" i="5"/>
  <c r="K762" i="5"/>
  <c r="L614" i="5"/>
  <c r="M192" i="5"/>
  <c r="J582" i="5"/>
  <c r="J677" i="5"/>
  <c r="J755" i="5"/>
  <c r="J569" i="5"/>
  <c r="J454" i="5"/>
  <c r="J691" i="5" s="1"/>
  <c r="J460" i="5"/>
  <c r="J715" i="5" s="1"/>
  <c r="L636" i="5"/>
  <c r="L460" i="5" s="1"/>
  <c r="L715" i="5" s="1"/>
  <c r="O186" i="8"/>
  <c r="O187" i="8" s="1"/>
  <c r="L710" i="5"/>
  <c r="L503" i="5"/>
  <c r="L807" i="5" s="1"/>
  <c r="M193" i="5"/>
  <c r="M195" i="5"/>
  <c r="M547" i="5"/>
  <c r="N537" i="5"/>
  <c r="M553" i="5"/>
  <c r="M550" i="5"/>
  <c r="M551" i="5"/>
  <c r="M191" i="5"/>
  <c r="N545" i="5"/>
  <c r="N558" i="5"/>
  <c r="O89" i="8"/>
  <c r="R313" i="5"/>
  <c r="O90" i="8" s="1"/>
  <c r="Q257" i="5"/>
  <c r="K756" i="5"/>
  <c r="K392" i="5"/>
  <c r="K411" i="5"/>
  <c r="K423" i="5"/>
  <c r="K771" i="5" s="1"/>
  <c r="O600" i="5"/>
  <c r="AI134" i="19" s="1"/>
  <c r="O543" i="5"/>
  <c r="P600" i="5"/>
  <c r="AJ134" i="19" s="1"/>
  <c r="P543" i="5"/>
  <c r="R110" i="5"/>
  <c r="R131" i="5" s="1"/>
  <c r="R114" i="5"/>
  <c r="R109" i="5"/>
  <c r="R112" i="5"/>
  <c r="R133" i="5" s="1"/>
  <c r="P103" i="5"/>
  <c r="S113" i="5"/>
  <c r="R48" i="8" s="1"/>
  <c r="R49" i="8" s="1"/>
  <c r="Q102" i="5"/>
  <c r="Q533" i="5" s="1"/>
  <c r="Q98" i="5"/>
  <c r="R65" i="5"/>
  <c r="R86" i="5" s="1"/>
  <c r="R321" i="5"/>
  <c r="R312" i="5"/>
  <c r="Q322" i="5"/>
  <c r="S62" i="5"/>
  <c r="AM151" i="19" s="1"/>
  <c r="S63" i="5"/>
  <c r="S84" i="5" s="1"/>
  <c r="S64" i="5"/>
  <c r="S85" i="5" s="1"/>
  <c r="S67" i="5"/>
  <c r="R83" i="5"/>
  <c r="R97" i="5"/>
  <c r="R100" i="5" s="1"/>
  <c r="R243" i="5"/>
  <c r="S304" i="5"/>
  <c r="S309" i="5"/>
  <c r="S311" i="5" s="1"/>
  <c r="T303" i="5"/>
  <c r="T53" i="5"/>
  <c r="S46" i="8" s="1"/>
  <c r="T244" i="5"/>
  <c r="Q72" i="8" s="1"/>
  <c r="T217" i="5"/>
  <c r="T87" i="5"/>
  <c r="I3" i="5"/>
  <c r="J3" i="5" s="1"/>
  <c r="K3" i="5" s="1"/>
  <c r="L3" i="5" s="1"/>
  <c r="M3" i="5" s="1"/>
  <c r="N3" i="5" s="1"/>
  <c r="O3" i="5" s="1"/>
  <c r="P3" i="5" s="1"/>
  <c r="Q3" i="5" s="1"/>
  <c r="R3" i="5" s="1"/>
  <c r="S3" i="5" s="1"/>
  <c r="T3" i="5" s="1"/>
  <c r="I2" i="5"/>
  <c r="J2" i="5" s="1"/>
  <c r="K2" i="5" s="1"/>
  <c r="L2" i="5" s="1"/>
  <c r="M2" i="5" s="1"/>
  <c r="N2" i="5" s="1"/>
  <c r="O2" i="5" s="1"/>
  <c r="P2" i="5" s="1"/>
  <c r="Q2" i="5" s="1"/>
  <c r="R2" i="5" s="1"/>
  <c r="S2" i="5" s="1"/>
  <c r="T2" i="5" s="1"/>
  <c r="S51" i="1"/>
  <c r="S54" i="1"/>
  <c r="S53" i="1"/>
  <c r="S52" i="1"/>
  <c r="S50" i="1"/>
  <c r="O54" i="1"/>
  <c r="O53" i="1"/>
  <c r="O52" i="1"/>
  <c r="O51" i="1"/>
  <c r="O50" i="1"/>
  <c r="I51" i="1"/>
  <c r="I52" i="1"/>
  <c r="I53" i="1"/>
  <c r="I54" i="1"/>
  <c r="H52" i="1"/>
  <c r="H53" i="1"/>
  <c r="H54" i="1"/>
  <c r="H51" i="1"/>
  <c r="I50" i="1"/>
  <c r="H50" i="1"/>
  <c r="O2" i="1"/>
  <c r="AE167" i="19" l="1"/>
  <c r="K677" i="5"/>
  <c r="K755" i="5"/>
  <c r="L766" i="5"/>
  <c r="K757" i="5"/>
  <c r="P8" i="2"/>
  <c r="K758" i="5"/>
  <c r="K818" i="5" s="1"/>
  <c r="L764" i="5"/>
  <c r="L765" i="5"/>
  <c r="I124" i="8"/>
  <c r="J761" i="5"/>
  <c r="Y691" i="5" s="1"/>
  <c r="Z691" i="5" s="1"/>
  <c r="J75" i="22"/>
  <c r="J763" i="5"/>
  <c r="J100" i="22"/>
  <c r="Y695" i="5"/>
  <c r="Z695" i="5" s="1"/>
  <c r="K581" i="5"/>
  <c r="K676" i="5"/>
  <c r="I6" i="11"/>
  <c r="G15" i="11"/>
  <c r="K639" i="5"/>
  <c r="K640" i="5" s="1"/>
  <c r="L767" i="5"/>
  <c r="L759" i="5"/>
  <c r="L819" i="5" s="1"/>
  <c r="K460" i="5"/>
  <c r="K715" i="5" s="1"/>
  <c r="L763" i="5" s="1"/>
  <c r="K393" i="5"/>
  <c r="K400" i="5" s="1"/>
  <c r="K401" i="5" s="1"/>
  <c r="K454" i="5"/>
  <c r="K691" i="5" s="1"/>
  <c r="K761" i="5" s="1"/>
  <c r="K569" i="5"/>
  <c r="K572" i="5" s="1"/>
  <c r="K417" i="5"/>
  <c r="K644" i="5" s="1"/>
  <c r="C114" i="11"/>
  <c r="N611" i="5"/>
  <c r="M58" i="8" s="1"/>
  <c r="AH135" i="19"/>
  <c r="Q47" i="8"/>
  <c r="AL154" i="19"/>
  <c r="M604" i="5"/>
  <c r="M617" i="5" s="1"/>
  <c r="AG136" i="19"/>
  <c r="N11" i="2"/>
  <c r="M612" i="5"/>
  <c r="J818" i="5"/>
  <c r="K819" i="5"/>
  <c r="M57" i="8"/>
  <c r="M625" i="5"/>
  <c r="I146" i="8" s="1"/>
  <c r="AD19" i="19"/>
  <c r="N602" i="5"/>
  <c r="J400" i="5"/>
  <c r="J401" i="5" s="1"/>
  <c r="S112" i="5"/>
  <c r="S133" i="5" s="1"/>
  <c r="AF32" i="19"/>
  <c r="AF167" i="19"/>
  <c r="L581" i="5"/>
  <c r="N191" i="5"/>
  <c r="O544" i="5"/>
  <c r="P534" i="5"/>
  <c r="P601" i="5" s="1"/>
  <c r="AJ135" i="19" s="1"/>
  <c r="O601" i="5"/>
  <c r="P188" i="8"/>
  <c r="Q9" i="2"/>
  <c r="Q148" i="5"/>
  <c r="Q150" i="5" s="1"/>
  <c r="Q534" i="5" s="1"/>
  <c r="Q53" i="8"/>
  <c r="Q54" i="8" s="1"/>
  <c r="R130" i="5"/>
  <c r="L417" i="5"/>
  <c r="L432" i="5" s="1"/>
  <c r="L393" i="5"/>
  <c r="R145" i="5"/>
  <c r="R146" i="5" s="1"/>
  <c r="L677" i="5"/>
  <c r="L676" i="5"/>
  <c r="L758" i="5"/>
  <c r="L582" i="5"/>
  <c r="L411" i="5"/>
  <c r="L643" i="5" s="1"/>
  <c r="L590" i="5"/>
  <c r="L423" i="5"/>
  <c r="L754" i="5"/>
  <c r="L454" i="5"/>
  <c r="L691" i="5" s="1"/>
  <c r="L756" i="5"/>
  <c r="L589" i="5"/>
  <c r="J395" i="5"/>
  <c r="J424" i="5"/>
  <c r="J426" i="5" s="1"/>
  <c r="J643" i="5"/>
  <c r="J24" i="22" s="1"/>
  <c r="J51" i="22" s="1"/>
  <c r="N193" i="5"/>
  <c r="J774" i="5"/>
  <c r="L569" i="5"/>
  <c r="L572" i="5" s="1"/>
  <c r="L639" i="5"/>
  <c r="J687" i="5"/>
  <c r="J71" i="22" s="1"/>
  <c r="J432" i="5"/>
  <c r="J434" i="5" s="1"/>
  <c r="J644" i="5"/>
  <c r="J25" i="22" s="1"/>
  <c r="J52" i="22" s="1"/>
  <c r="J641" i="5"/>
  <c r="J640" i="5"/>
  <c r="M194" i="8"/>
  <c r="M195" i="8" s="1"/>
  <c r="J799" i="5"/>
  <c r="C144" i="11"/>
  <c r="N195" i="5"/>
  <c r="N552" i="5"/>
  <c r="J572" i="5"/>
  <c r="N547" i="5"/>
  <c r="O537" i="5"/>
  <c r="N553" i="5"/>
  <c r="N550" i="5"/>
  <c r="N551" i="5"/>
  <c r="N192" i="5"/>
  <c r="S313" i="5"/>
  <c r="P90" i="8" s="1"/>
  <c r="P89" i="8"/>
  <c r="R257" i="5"/>
  <c r="K774" i="5"/>
  <c r="K424" i="5"/>
  <c r="K643" i="5"/>
  <c r="P610" i="5"/>
  <c r="O545" i="5"/>
  <c r="O558" i="5"/>
  <c r="O610" i="5"/>
  <c r="S111" i="5"/>
  <c r="S132" i="5" s="1"/>
  <c r="Q600" i="5"/>
  <c r="AK134" i="19" s="1"/>
  <c r="Q543" i="5"/>
  <c r="S109" i="5"/>
  <c r="S110" i="5"/>
  <c r="S131" i="5" s="1"/>
  <c r="S114" i="5"/>
  <c r="R102" i="5"/>
  <c r="R98" i="5"/>
  <c r="Q103" i="5"/>
  <c r="T113" i="5"/>
  <c r="S48" i="8" s="1"/>
  <c r="S49" i="8" s="1"/>
  <c r="T304" i="5"/>
  <c r="T309" i="5"/>
  <c r="T311" i="5" s="1"/>
  <c r="S83" i="5"/>
  <c r="S97" i="5"/>
  <c r="S100" i="5" s="1"/>
  <c r="S243" i="5"/>
  <c r="T62" i="5"/>
  <c r="AN151" i="19" s="1"/>
  <c r="T64" i="5"/>
  <c r="T85" i="5" s="1"/>
  <c r="T63" i="5"/>
  <c r="T84" i="5" s="1"/>
  <c r="T67" i="5"/>
  <c r="S312" i="5"/>
  <c r="S321" i="5"/>
  <c r="S65" i="5"/>
  <c r="S86" i="5" s="1"/>
  <c r="R322" i="5"/>
  <c r="H55" i="1"/>
  <c r="O55" i="1"/>
  <c r="O56" i="1" s="1"/>
  <c r="I55" i="1"/>
  <c r="S55" i="1"/>
  <c r="I154" i="1"/>
  <c r="I155" i="1"/>
  <c r="I156" i="1"/>
  <c r="I157" i="1"/>
  <c r="H157" i="1"/>
  <c r="H156" i="1"/>
  <c r="H155" i="1"/>
  <c r="H154" i="1"/>
  <c r="I112" i="1"/>
  <c r="H112" i="1"/>
  <c r="I111" i="1"/>
  <c r="H111" i="1"/>
  <c r="I110" i="1"/>
  <c r="H110" i="1"/>
  <c r="S39" i="1"/>
  <c r="P38" i="1"/>
  <c r="Q38" i="1"/>
  <c r="R38" i="1"/>
  <c r="S38" i="1"/>
  <c r="P39" i="1"/>
  <c r="Q39" i="1"/>
  <c r="R39" i="1"/>
  <c r="O39" i="1"/>
  <c r="O38" i="1"/>
  <c r="P3" i="1"/>
  <c r="I3" i="1"/>
  <c r="I39" i="1"/>
  <c r="H39" i="1"/>
  <c r="I38" i="1"/>
  <c r="H38" i="1"/>
  <c r="I2" i="1"/>
  <c r="O11" i="2" l="1"/>
  <c r="O15" i="2" s="1"/>
  <c r="J800" i="5"/>
  <c r="AD159" i="19" s="1"/>
  <c r="AE19" i="19"/>
  <c r="G33" i="7"/>
  <c r="J821" i="5"/>
  <c r="J61" i="22"/>
  <c r="K763" i="5"/>
  <c r="H33" i="7" s="1"/>
  <c r="K799" i="5"/>
  <c r="K814" i="5" s="1"/>
  <c r="AE111" i="19" s="1"/>
  <c r="K641" i="5"/>
  <c r="N194" i="8"/>
  <c r="N195" i="8" s="1"/>
  <c r="K432" i="5"/>
  <c r="L761" i="5"/>
  <c r="I33" i="7" s="1"/>
  <c r="P186" i="8"/>
  <c r="P187" i="8" s="1"/>
  <c r="J29" i="7"/>
  <c r="J123" i="8"/>
  <c r="J124" i="8" s="1"/>
  <c r="M620" i="5"/>
  <c r="M635" i="5"/>
  <c r="M568" i="5" s="1"/>
  <c r="M717" i="5"/>
  <c r="M765" i="5" s="1"/>
  <c r="M457" i="5"/>
  <c r="M692" i="5" s="1"/>
  <c r="M762" i="5" s="1"/>
  <c r="M636" i="5"/>
  <c r="M454" i="5" s="1"/>
  <c r="M691" i="5" s="1"/>
  <c r="M761" i="5" s="1"/>
  <c r="AG18" i="19"/>
  <c r="M408" i="5"/>
  <c r="M392" i="5" s="1"/>
  <c r="M648" i="5"/>
  <c r="M676" i="5" s="1"/>
  <c r="M656" i="5"/>
  <c r="M756" i="5" s="1"/>
  <c r="M614" i="5"/>
  <c r="M719" i="5"/>
  <c r="M767" i="5" s="1"/>
  <c r="M695" i="5"/>
  <c r="M759" i="5" s="1"/>
  <c r="M819" i="5" s="1"/>
  <c r="M414" i="5"/>
  <c r="M431" i="5" s="1"/>
  <c r="M772" i="5" s="1"/>
  <c r="M709" i="5"/>
  <c r="M710" i="5"/>
  <c r="M637" i="5"/>
  <c r="M570" i="5" s="1"/>
  <c r="M657" i="5"/>
  <c r="M757" i="5" s="1"/>
  <c r="M503" i="5"/>
  <c r="M807" i="5" s="1"/>
  <c r="AG167" i="19" s="1"/>
  <c r="N625" i="5"/>
  <c r="J146" i="8" s="1"/>
  <c r="AH136" i="19"/>
  <c r="Q7" i="2"/>
  <c r="Q8" i="2" s="1"/>
  <c r="M649" i="5"/>
  <c r="M582" i="5" s="1"/>
  <c r="M619" i="5"/>
  <c r="R47" i="8"/>
  <c r="AM154" i="19"/>
  <c r="M718" i="5"/>
  <c r="M766" i="5" s="1"/>
  <c r="M711" i="5"/>
  <c r="M618" i="5"/>
  <c r="N57" i="8"/>
  <c r="AI135" i="19"/>
  <c r="M696" i="5"/>
  <c r="M764" i="5" s="1"/>
  <c r="AE21" i="19"/>
  <c r="AD21" i="19"/>
  <c r="AE116" i="19"/>
  <c r="AE115" i="19"/>
  <c r="AF116" i="19"/>
  <c r="AD115" i="19"/>
  <c r="J814" i="5"/>
  <c r="J815" i="5"/>
  <c r="S56" i="1"/>
  <c r="W55" i="1"/>
  <c r="L818" i="5"/>
  <c r="L574" i="5"/>
  <c r="N612" i="5"/>
  <c r="AD20" i="19"/>
  <c r="J645" i="5"/>
  <c r="N604" i="5"/>
  <c r="AE20" i="19"/>
  <c r="K645" i="5"/>
  <c r="J405" i="5"/>
  <c r="J406" i="5" s="1"/>
  <c r="L400" i="5"/>
  <c r="L401" i="5" s="1"/>
  <c r="O602" i="5"/>
  <c r="P535" i="5"/>
  <c r="P558" i="5" s="1"/>
  <c r="K687" i="5"/>
  <c r="K445" i="5" s="1"/>
  <c r="J445" i="5"/>
  <c r="T109" i="5"/>
  <c r="AN154" i="19" s="1"/>
  <c r="P544" i="5"/>
  <c r="O611" i="5"/>
  <c r="N58" i="8" s="1"/>
  <c r="L576" i="5"/>
  <c r="AF20" i="19"/>
  <c r="AD158" i="19"/>
  <c r="L799" i="5"/>
  <c r="AF19" i="19"/>
  <c r="L771" i="5"/>
  <c r="L774" i="5" s="1"/>
  <c r="J396" i="5"/>
  <c r="Q151" i="5"/>
  <c r="P59" i="8" s="1"/>
  <c r="O191" i="5"/>
  <c r="Q188" i="8"/>
  <c r="R9" i="2"/>
  <c r="L644" i="5"/>
  <c r="R148" i="5"/>
  <c r="R150" i="5" s="1"/>
  <c r="R151" i="5" s="1"/>
  <c r="Q59" i="8" s="1"/>
  <c r="R53" i="8"/>
  <c r="R54" i="8" s="1"/>
  <c r="S130" i="5"/>
  <c r="O192" i="5"/>
  <c r="O195" i="5"/>
  <c r="S145" i="5"/>
  <c r="S146" i="5" s="1"/>
  <c r="O193" i="5"/>
  <c r="L424" i="5"/>
  <c r="I35" i="7"/>
  <c r="L752" i="5"/>
  <c r="O547" i="5"/>
  <c r="K395" i="5"/>
  <c r="K821" i="5" s="1"/>
  <c r="K573" i="5"/>
  <c r="L674" i="5"/>
  <c r="Q610" i="5"/>
  <c r="K422" i="5"/>
  <c r="K426" i="5" s="1"/>
  <c r="J684" i="5"/>
  <c r="J68" i="22" s="1"/>
  <c r="N14" i="2"/>
  <c r="N12" i="2"/>
  <c r="N15" i="2"/>
  <c r="L641" i="5"/>
  <c r="L640" i="5"/>
  <c r="J576" i="5"/>
  <c r="J674" i="5"/>
  <c r="G35" i="7"/>
  <c r="J752" i="5"/>
  <c r="O552" i="5"/>
  <c r="J753" i="5"/>
  <c r="G36" i="7"/>
  <c r="J577" i="5"/>
  <c r="J675" i="5"/>
  <c r="O194" i="8"/>
  <c r="P11" i="2"/>
  <c r="P14" i="2" s="1"/>
  <c r="J573" i="5"/>
  <c r="J574" i="5"/>
  <c r="K430" i="5"/>
  <c r="J685" i="5"/>
  <c r="J69" i="22" s="1"/>
  <c r="O553" i="5"/>
  <c r="O551" i="5"/>
  <c r="O550" i="5"/>
  <c r="K574" i="5"/>
  <c r="L573" i="5"/>
  <c r="T313" i="5"/>
  <c r="Q90" i="8" s="1"/>
  <c r="Q89" i="8"/>
  <c r="S257" i="5"/>
  <c r="P611" i="5"/>
  <c r="O58" i="8" s="1"/>
  <c r="O57" i="8"/>
  <c r="P602" i="5"/>
  <c r="AJ136" i="19" s="1"/>
  <c r="K674" i="5"/>
  <c r="K752" i="5"/>
  <c r="H35" i="7"/>
  <c r="K576" i="5"/>
  <c r="O14" i="2"/>
  <c r="K753" i="5"/>
  <c r="K675" i="5"/>
  <c r="H36" i="7"/>
  <c r="K577" i="5"/>
  <c r="Q601" i="5"/>
  <c r="AK135" i="19" s="1"/>
  <c r="R103" i="5"/>
  <c r="R533" i="5"/>
  <c r="Q544" i="5"/>
  <c r="Q535" i="5"/>
  <c r="T114" i="5"/>
  <c r="S102" i="5"/>
  <c r="S533" i="5" s="1"/>
  <c r="S98" i="5"/>
  <c r="T110" i="5"/>
  <c r="T131" i="5" s="1"/>
  <c r="T111" i="5"/>
  <c r="T132" i="5" s="1"/>
  <c r="T112" i="5"/>
  <c r="T133" i="5" s="1"/>
  <c r="T83" i="5"/>
  <c r="T97" i="5"/>
  <c r="T100" i="5" s="1"/>
  <c r="T243" i="5"/>
  <c r="T65" i="5"/>
  <c r="T86" i="5" s="1"/>
  <c r="S322" i="5"/>
  <c r="T321" i="5"/>
  <c r="T312" i="5"/>
  <c r="Q3" i="1"/>
  <c r="P2" i="1"/>
  <c r="K434" i="5" l="1"/>
  <c r="K685" i="5" s="1"/>
  <c r="AE158" i="19"/>
  <c r="L800" i="5"/>
  <c r="L815" i="5" s="1"/>
  <c r="AF112" i="19" s="1"/>
  <c r="O195" i="8"/>
  <c r="O12" i="2"/>
  <c r="K800" i="5"/>
  <c r="AE159" i="19" s="1"/>
  <c r="G7" i="11"/>
  <c r="I7" i="11" s="1"/>
  <c r="J62" i="22"/>
  <c r="AG32" i="19"/>
  <c r="M590" i="5"/>
  <c r="M754" i="5"/>
  <c r="M581" i="5"/>
  <c r="M569" i="5"/>
  <c r="M572" i="5" s="1"/>
  <c r="M573" i="5" s="1"/>
  <c r="M423" i="5"/>
  <c r="M771" i="5" s="1"/>
  <c r="M774" i="5" s="1"/>
  <c r="M411" i="5"/>
  <c r="M424" i="5" s="1"/>
  <c r="M417" i="5"/>
  <c r="M432" i="5" s="1"/>
  <c r="M460" i="5"/>
  <c r="M715" i="5" s="1"/>
  <c r="M763" i="5" s="1"/>
  <c r="M800" i="5" s="1"/>
  <c r="M589" i="5"/>
  <c r="M393" i="5"/>
  <c r="M400" i="5" s="1"/>
  <c r="M401" i="5" s="1"/>
  <c r="M758" i="5"/>
  <c r="M818" i="5" s="1"/>
  <c r="M755" i="5"/>
  <c r="M677" i="5"/>
  <c r="M639" i="5"/>
  <c r="M799" i="5" s="1"/>
  <c r="O604" i="5"/>
  <c r="S7" i="2" s="1"/>
  <c r="AI136" i="19"/>
  <c r="AG116" i="19"/>
  <c r="L814" i="5"/>
  <c r="AF111" i="19" s="1"/>
  <c r="AF115" i="19"/>
  <c r="L645" i="5"/>
  <c r="L650" i="5" s="1"/>
  <c r="O199" i="8" s="1"/>
  <c r="O200" i="8" s="1"/>
  <c r="O201" i="8" s="1"/>
  <c r="AD111" i="19"/>
  <c r="N711" i="5"/>
  <c r="N32" i="2"/>
  <c r="N33" i="2" s="1"/>
  <c r="AD112" i="19"/>
  <c r="N696" i="5"/>
  <c r="N764" i="5" s="1"/>
  <c r="S53" i="8"/>
  <c r="S54" i="8" s="1"/>
  <c r="S47" i="8"/>
  <c r="T145" i="5"/>
  <c r="T148" i="5" s="1"/>
  <c r="T150" i="5" s="1"/>
  <c r="T534" i="5" s="1"/>
  <c r="N649" i="5"/>
  <c r="N677" i="5" s="1"/>
  <c r="R7" i="2"/>
  <c r="R8" i="2" s="1"/>
  <c r="N695" i="5"/>
  <c r="N759" i="5" s="1"/>
  <c r="N503" i="5"/>
  <c r="N807" i="5" s="1"/>
  <c r="N618" i="5"/>
  <c r="K123" i="8"/>
  <c r="K124" i="8" s="1"/>
  <c r="N619" i="5"/>
  <c r="Q186" i="8"/>
  <c r="Q187" i="8" s="1"/>
  <c r="N620" i="5"/>
  <c r="N635" i="5"/>
  <c r="N568" i="5" s="1"/>
  <c r="J403" i="5"/>
  <c r="G34" i="7"/>
  <c r="N414" i="5"/>
  <c r="N431" i="5" s="1"/>
  <c r="N772" i="5" s="1"/>
  <c r="N614" i="5"/>
  <c r="N637" i="5"/>
  <c r="N570" i="5" s="1"/>
  <c r="N719" i="5"/>
  <c r="N767" i="5" s="1"/>
  <c r="N617" i="5"/>
  <c r="N648" i="5"/>
  <c r="N581" i="5" s="1"/>
  <c r="N710" i="5"/>
  <c r="N709" i="5"/>
  <c r="N636" i="5"/>
  <c r="N569" i="5" s="1"/>
  <c r="P537" i="5"/>
  <c r="P195" i="5" s="1"/>
  <c r="N457" i="5"/>
  <c r="N692" i="5" s="1"/>
  <c r="N762" i="5" s="1"/>
  <c r="N718" i="5"/>
  <c r="N766" i="5" s="1"/>
  <c r="P545" i="5"/>
  <c r="N656" i="5"/>
  <c r="N589" i="5" s="1"/>
  <c r="N408" i="5"/>
  <c r="N392" i="5" s="1"/>
  <c r="J578" i="5"/>
  <c r="K578" i="5"/>
  <c r="N657" i="5"/>
  <c r="N757" i="5" s="1"/>
  <c r="AH18" i="19"/>
  <c r="K650" i="5"/>
  <c r="N199" i="8" s="1"/>
  <c r="N200" i="8" s="1"/>
  <c r="N201" i="8" s="1"/>
  <c r="K646" i="5"/>
  <c r="J650" i="5"/>
  <c r="J646" i="5"/>
  <c r="O625" i="5"/>
  <c r="K146" i="8" s="1"/>
  <c r="N717" i="5"/>
  <c r="N765" i="5" s="1"/>
  <c r="K29" i="7"/>
  <c r="O612" i="5"/>
  <c r="AE118" i="19"/>
  <c r="K405" i="5"/>
  <c r="K406" i="5" s="1"/>
  <c r="L687" i="5"/>
  <c r="L445" i="5" s="1"/>
  <c r="T130" i="5"/>
  <c r="M203" i="8"/>
  <c r="M205" i="8" s="1"/>
  <c r="J802" i="5"/>
  <c r="J398" i="5"/>
  <c r="J397" i="5"/>
  <c r="I36" i="7"/>
  <c r="AF21" i="19"/>
  <c r="AF158" i="19"/>
  <c r="J739" i="5"/>
  <c r="J741" i="5" s="1"/>
  <c r="AD22" i="19"/>
  <c r="AD23" i="19" s="1"/>
  <c r="AD24" i="19" s="1"/>
  <c r="L395" i="5"/>
  <c r="L821" i="5" s="1"/>
  <c r="L675" i="5"/>
  <c r="N196" i="8"/>
  <c r="O13" i="2"/>
  <c r="M196" i="8"/>
  <c r="N13" i="2"/>
  <c r="R188" i="8"/>
  <c r="S9" i="2"/>
  <c r="L577" i="5"/>
  <c r="L578" i="5" s="1"/>
  <c r="O196" i="8"/>
  <c r="P13" i="2"/>
  <c r="L753" i="5"/>
  <c r="R534" i="5"/>
  <c r="R601" i="5" s="1"/>
  <c r="AL135" i="19" s="1"/>
  <c r="S148" i="5"/>
  <c r="S150" i="5" s="1"/>
  <c r="S151" i="5" s="1"/>
  <c r="R59" i="8" s="1"/>
  <c r="K396" i="5"/>
  <c r="P15" i="2"/>
  <c r="L422" i="5"/>
  <c r="L426" i="5" s="1"/>
  <c r="L684" i="5" s="1"/>
  <c r="K684" i="5"/>
  <c r="J688" i="5"/>
  <c r="J72" i="22" s="1"/>
  <c r="P12" i="2"/>
  <c r="P625" i="5"/>
  <c r="L146" i="8" s="1"/>
  <c r="Q602" i="5"/>
  <c r="Q537" i="5"/>
  <c r="T257" i="5"/>
  <c r="P612" i="5"/>
  <c r="P604" i="5"/>
  <c r="Q611" i="5"/>
  <c r="P58" i="8" s="1"/>
  <c r="P57" i="8"/>
  <c r="Q558" i="5"/>
  <c r="S600" i="5"/>
  <c r="AM134" i="19" s="1"/>
  <c r="S543" i="5"/>
  <c r="R600" i="5"/>
  <c r="AL134" i="19" s="1"/>
  <c r="R543" i="5"/>
  <c r="Q545" i="5"/>
  <c r="S103" i="5"/>
  <c r="T102" i="5"/>
  <c r="T98" i="5"/>
  <c r="T322" i="5"/>
  <c r="R3" i="1"/>
  <c r="Q2" i="1"/>
  <c r="L430" i="5" l="1"/>
  <c r="L434" i="5" s="1"/>
  <c r="M430" i="5" s="1"/>
  <c r="G16" i="11"/>
  <c r="AF159" i="19"/>
  <c r="K815" i="5"/>
  <c r="AE112" i="19" s="1"/>
  <c r="J673" i="5"/>
  <c r="J678" i="5" s="1"/>
  <c r="J28" i="22"/>
  <c r="AG19" i="19"/>
  <c r="M640" i="5"/>
  <c r="J33" i="7"/>
  <c r="M643" i="5"/>
  <c r="M674" i="5" s="1"/>
  <c r="M574" i="5"/>
  <c r="M644" i="5"/>
  <c r="M675" i="5" s="1"/>
  <c r="O457" i="5"/>
  <c r="O692" i="5" s="1"/>
  <c r="O762" i="5" s="1"/>
  <c r="O709" i="5"/>
  <c r="M434" i="5"/>
  <c r="M685" i="5" s="1"/>
  <c r="O711" i="5"/>
  <c r="O710" i="5"/>
  <c r="O614" i="5"/>
  <c r="O696" i="5"/>
  <c r="O764" i="5" s="1"/>
  <c r="O718" i="5"/>
  <c r="O766" i="5" s="1"/>
  <c r="O618" i="5"/>
  <c r="R186" i="8"/>
  <c r="R187" i="8" s="1"/>
  <c r="O408" i="5"/>
  <c r="O392" i="5" s="1"/>
  <c r="O635" i="5"/>
  <c r="O568" i="5" s="1"/>
  <c r="P194" i="8"/>
  <c r="P195" i="8" s="1"/>
  <c r="Q11" i="2"/>
  <c r="Q12" i="2" s="1"/>
  <c r="O414" i="5"/>
  <c r="O431" i="5" s="1"/>
  <c r="O772" i="5" s="1"/>
  <c r="O637" i="5"/>
  <c r="O570" i="5" s="1"/>
  <c r="O717" i="5"/>
  <c r="O765" i="5" s="1"/>
  <c r="O503" i="5"/>
  <c r="O807" i="5" s="1"/>
  <c r="AI167" i="19" s="1"/>
  <c r="O719" i="5"/>
  <c r="O767" i="5" s="1"/>
  <c r="O619" i="5"/>
  <c r="O636" i="5"/>
  <c r="O460" i="5" s="1"/>
  <c r="O715" i="5" s="1"/>
  <c r="O695" i="5"/>
  <c r="O759" i="5" s="1"/>
  <c r="O649" i="5"/>
  <c r="O677" i="5" s="1"/>
  <c r="L29" i="7"/>
  <c r="M641" i="5"/>
  <c r="O656" i="5"/>
  <c r="O756" i="5" s="1"/>
  <c r="L123" i="8"/>
  <c r="L124" i="8" s="1"/>
  <c r="O657" i="5"/>
  <c r="O757" i="5" s="1"/>
  <c r="O617" i="5"/>
  <c r="AI18" i="19"/>
  <c r="O648" i="5"/>
  <c r="O581" i="5" s="1"/>
  <c r="O620" i="5"/>
  <c r="Q604" i="5"/>
  <c r="Q695" i="5" s="1"/>
  <c r="AK136" i="19"/>
  <c r="AG115" i="19"/>
  <c r="O32" i="2"/>
  <c r="O33" i="2" s="1"/>
  <c r="M815" i="5"/>
  <c r="AG112" i="19" s="1"/>
  <c r="J820" i="5"/>
  <c r="L646" i="5"/>
  <c r="M814" i="5"/>
  <c r="AG111" i="19" s="1"/>
  <c r="AH167" i="19"/>
  <c r="N819" i="5"/>
  <c r="N755" i="5"/>
  <c r="S8" i="2"/>
  <c r="T146" i="5"/>
  <c r="N582" i="5"/>
  <c r="AD161" i="19"/>
  <c r="AH32" i="19"/>
  <c r="N756" i="5"/>
  <c r="N417" i="5"/>
  <c r="N432" i="5" s="1"/>
  <c r="N393" i="5"/>
  <c r="N400" i="5" s="1"/>
  <c r="N401" i="5" s="1"/>
  <c r="N423" i="5"/>
  <c r="N771" i="5" s="1"/>
  <c r="N774" i="5" s="1"/>
  <c r="N758" i="5"/>
  <c r="P552" i="5"/>
  <c r="N572" i="5"/>
  <c r="N573" i="5" s="1"/>
  <c r="R13" i="2" s="1"/>
  <c r="N754" i="5"/>
  <c r="N676" i="5"/>
  <c r="AE22" i="19"/>
  <c r="AE23" i="19" s="1"/>
  <c r="AE24" i="19" s="1"/>
  <c r="H34" i="7"/>
  <c r="P547" i="5"/>
  <c r="S188" i="8" s="1"/>
  <c r="P193" i="5"/>
  <c r="N639" i="5"/>
  <c r="N460" i="5"/>
  <c r="N715" i="5" s="1"/>
  <c r="N763" i="5" s="1"/>
  <c r="P191" i="5"/>
  <c r="P553" i="5"/>
  <c r="N411" i="5"/>
  <c r="N643" i="5" s="1"/>
  <c r="P550" i="5"/>
  <c r="N454" i="5"/>
  <c r="N691" i="5" s="1"/>
  <c r="N761" i="5" s="1"/>
  <c r="P551" i="5"/>
  <c r="P192" i="5"/>
  <c r="J727" i="5"/>
  <c r="J728" i="5" s="1"/>
  <c r="N590" i="5"/>
  <c r="M199" i="8"/>
  <c r="M200" i="8" s="1"/>
  <c r="M201" i="8" s="1"/>
  <c r="M209" i="8" s="1"/>
  <c r="J651" i="5"/>
  <c r="K652" i="5"/>
  <c r="G31" i="7"/>
  <c r="G32" i="7" s="1"/>
  <c r="G37" i="7" s="1"/>
  <c r="G39" i="7" s="1"/>
  <c r="K651" i="5"/>
  <c r="J652" i="5"/>
  <c r="L579" i="5"/>
  <c r="L583" i="5"/>
  <c r="K579" i="5"/>
  <c r="K583" i="5"/>
  <c r="K585" i="5" s="1"/>
  <c r="J579" i="5"/>
  <c r="J583" i="5"/>
  <c r="J584" i="5" s="1"/>
  <c r="M687" i="5"/>
  <c r="M445" i="5" s="1"/>
  <c r="M207" i="8"/>
  <c r="K673" i="5"/>
  <c r="K678" i="5" s="1"/>
  <c r="H31" i="7"/>
  <c r="H32" i="7" s="1"/>
  <c r="K727" i="5"/>
  <c r="K728" i="5" s="1"/>
  <c r="K729" i="5" s="1"/>
  <c r="AF118" i="19"/>
  <c r="L405" i="5"/>
  <c r="L406" i="5" s="1"/>
  <c r="AJ18" i="19"/>
  <c r="P657" i="5"/>
  <c r="P757" i="5" s="1"/>
  <c r="M395" i="5"/>
  <c r="M821" i="5" s="1"/>
  <c r="AG159" i="19"/>
  <c r="AG158" i="19"/>
  <c r="M576" i="5"/>
  <c r="L396" i="5"/>
  <c r="Q552" i="5"/>
  <c r="L651" i="5"/>
  <c r="L727" i="5"/>
  <c r="K739" i="5"/>
  <c r="K741" i="5" s="1"/>
  <c r="I31" i="7"/>
  <c r="I32" i="7" s="1"/>
  <c r="L673" i="5"/>
  <c r="L678" i="5" s="1"/>
  <c r="L652" i="5"/>
  <c r="S534" i="5"/>
  <c r="T544" i="5" s="1"/>
  <c r="R544" i="5"/>
  <c r="P196" i="8"/>
  <c r="Q13" i="2"/>
  <c r="P619" i="5"/>
  <c r="T7" i="2"/>
  <c r="T8" i="2" s="1"/>
  <c r="R535" i="5"/>
  <c r="R545" i="5" s="1"/>
  <c r="K398" i="5"/>
  <c r="N203" i="8"/>
  <c r="K403" i="5"/>
  <c r="K802" i="5"/>
  <c r="K397" i="5"/>
  <c r="Q612" i="5"/>
  <c r="M422" i="5"/>
  <c r="M426" i="5" s="1"/>
  <c r="N422" i="5" s="1"/>
  <c r="K688" i="5"/>
  <c r="L685" i="5"/>
  <c r="L688" i="5" s="1"/>
  <c r="S186" i="8"/>
  <c r="P620" i="5"/>
  <c r="P617" i="5"/>
  <c r="P618" i="5"/>
  <c r="Q191" i="5"/>
  <c r="Q625" i="5"/>
  <c r="M146" i="8" s="1"/>
  <c r="Q547" i="5"/>
  <c r="Q192" i="5"/>
  <c r="Q193" i="5"/>
  <c r="Q195" i="5"/>
  <c r="T151" i="5"/>
  <c r="S59" i="8" s="1"/>
  <c r="Q553" i="5"/>
  <c r="Q550" i="5"/>
  <c r="Q551" i="5"/>
  <c r="P635" i="5"/>
  <c r="P568" i="5" s="1"/>
  <c r="M123" i="8"/>
  <c r="P710" i="5"/>
  <c r="P503" i="5"/>
  <c r="P807" i="5" s="1"/>
  <c r="P696" i="5"/>
  <c r="P636" i="5"/>
  <c r="P569" i="5" s="1"/>
  <c r="P709" i="5"/>
  <c r="P457" i="5"/>
  <c r="P692" i="5" s="1"/>
  <c r="M29" i="7"/>
  <c r="P695" i="5"/>
  <c r="P637" i="5"/>
  <c r="P570" i="5" s="1"/>
  <c r="P414" i="5"/>
  <c r="P417" i="5" s="1"/>
  <c r="P644" i="5" s="1"/>
  <c r="P717" i="5"/>
  <c r="P718" i="5"/>
  <c r="P648" i="5"/>
  <c r="P754" i="5" s="1"/>
  <c r="P711" i="5"/>
  <c r="P719" i="5"/>
  <c r="P656" i="5"/>
  <c r="P756" i="5" s="1"/>
  <c r="P649" i="5"/>
  <c r="P677" i="5" s="1"/>
  <c r="P614" i="5"/>
  <c r="P408" i="5"/>
  <c r="P423" i="5" s="1"/>
  <c r="P771" i="5" s="1"/>
  <c r="R602" i="5"/>
  <c r="AL136" i="19" s="1"/>
  <c r="R611" i="5"/>
  <c r="Q58" i="8" s="1"/>
  <c r="Q57" i="8"/>
  <c r="T601" i="5"/>
  <c r="AN135" i="19" s="1"/>
  <c r="S610" i="5"/>
  <c r="R610" i="5"/>
  <c r="T103" i="5"/>
  <c r="T533" i="5"/>
  <c r="S3" i="1"/>
  <c r="R2" i="1"/>
  <c r="M752" i="5" l="1"/>
  <c r="J35" i="7"/>
  <c r="J50" i="22"/>
  <c r="J55" i="22" s="1"/>
  <c r="J38" i="22"/>
  <c r="AG20" i="19"/>
  <c r="AI32" i="19"/>
  <c r="U7" i="2"/>
  <c r="U8" i="2" s="1"/>
  <c r="J36" i="7"/>
  <c r="M577" i="5"/>
  <c r="M578" i="5" s="1"/>
  <c r="O758" i="5"/>
  <c r="O818" i="5" s="1"/>
  <c r="O393" i="5"/>
  <c r="O400" i="5" s="1"/>
  <c r="O401" i="5" s="1"/>
  <c r="AG21" i="19"/>
  <c r="M753" i="5"/>
  <c r="Q710" i="5"/>
  <c r="O417" i="5"/>
  <c r="O432" i="5" s="1"/>
  <c r="S2" i="1"/>
  <c r="T3" i="1"/>
  <c r="T2" i="1" s="1"/>
  <c r="M645" i="5"/>
  <c r="M650" i="5" s="1"/>
  <c r="M673" i="5" s="1"/>
  <c r="M678" i="5" s="1"/>
  <c r="P764" i="5"/>
  <c r="N29" i="7"/>
  <c r="O639" i="5"/>
  <c r="S11" i="2" s="1"/>
  <c r="O676" i="5"/>
  <c r="P766" i="5"/>
  <c r="Q15" i="2"/>
  <c r="O411" i="5"/>
  <c r="O424" i="5" s="1"/>
  <c r="O755" i="5"/>
  <c r="O423" i="5"/>
  <c r="O771" i="5" s="1"/>
  <c r="O774" i="5" s="1"/>
  <c r="O582" i="5"/>
  <c r="P759" i="5"/>
  <c r="P819" i="5" s="1"/>
  <c r="S187" i="8"/>
  <c r="P762" i="5"/>
  <c r="N430" i="5"/>
  <c r="N434" i="5" s="1"/>
  <c r="N685" i="5" s="1"/>
  <c r="O569" i="5"/>
  <c r="O572" i="5" s="1"/>
  <c r="O454" i="5"/>
  <c r="O691" i="5" s="1"/>
  <c r="O761" i="5" s="1"/>
  <c r="Q14" i="2"/>
  <c r="P765" i="5"/>
  <c r="Q617" i="5"/>
  <c r="Q657" i="5"/>
  <c r="Q590" i="5" s="1"/>
  <c r="Q620" i="5"/>
  <c r="AK18" i="19"/>
  <c r="Q457" i="5"/>
  <c r="Q692" i="5" s="1"/>
  <c r="Q762" i="5" s="1"/>
  <c r="Q635" i="5"/>
  <c r="Q568" i="5" s="1"/>
  <c r="Q656" i="5"/>
  <c r="Q589" i="5" s="1"/>
  <c r="Q696" i="5"/>
  <c r="Q764" i="5" s="1"/>
  <c r="M124" i="8"/>
  <c r="Q408" i="5"/>
  <c r="Q392" i="5" s="1"/>
  <c r="Q719" i="5"/>
  <c r="Q767" i="5" s="1"/>
  <c r="P767" i="5"/>
  <c r="Q709" i="5"/>
  <c r="Q618" i="5"/>
  <c r="Q636" i="5"/>
  <c r="Q569" i="5" s="1"/>
  <c r="Q711" i="5"/>
  <c r="T186" i="8"/>
  <c r="T187" i="8" s="1"/>
  <c r="Q718" i="5"/>
  <c r="Q766" i="5" s="1"/>
  <c r="O590" i="5"/>
  <c r="N123" i="8"/>
  <c r="N124" i="8" s="1"/>
  <c r="Q649" i="5"/>
  <c r="Q755" i="5" s="1"/>
  <c r="Q648" i="5"/>
  <c r="Q754" i="5" s="1"/>
  <c r="Q717" i="5"/>
  <c r="Q765" i="5" s="1"/>
  <c r="O589" i="5"/>
  <c r="Q503" i="5"/>
  <c r="Q807" i="5" s="1"/>
  <c r="AK167" i="19" s="1"/>
  <c r="Q614" i="5"/>
  <c r="Q637" i="5"/>
  <c r="Q570" i="5" s="1"/>
  <c r="Q414" i="5"/>
  <c r="Q393" i="5" s="1"/>
  <c r="Q619" i="5"/>
  <c r="O754" i="5"/>
  <c r="AJ21" i="19"/>
  <c r="Q194" i="8"/>
  <c r="Q195" i="8" s="1"/>
  <c r="P32" i="2"/>
  <c r="P33" i="2" s="1"/>
  <c r="K820" i="5"/>
  <c r="AE117" i="19" s="1"/>
  <c r="N576" i="5"/>
  <c r="AH116" i="19"/>
  <c r="O819" i="5"/>
  <c r="N818" i="5"/>
  <c r="N644" i="5"/>
  <c r="Q196" i="8"/>
  <c r="N574" i="5"/>
  <c r="J729" i="5"/>
  <c r="J730" i="5" s="1"/>
  <c r="T9" i="2"/>
  <c r="N799" i="5"/>
  <c r="K33" i="7"/>
  <c r="R11" i="2"/>
  <c r="R14" i="2" s="1"/>
  <c r="N640" i="5"/>
  <c r="N674" i="5"/>
  <c r="N800" i="5"/>
  <c r="AH19" i="19"/>
  <c r="N641" i="5"/>
  <c r="AF22" i="19"/>
  <c r="AF23" i="19" s="1"/>
  <c r="AF24" i="19" s="1"/>
  <c r="I34" i="7"/>
  <c r="I37" i="7" s="1"/>
  <c r="I39" i="7" s="1"/>
  <c r="O763" i="5"/>
  <c r="N424" i="5"/>
  <c r="N426" i="5" s="1"/>
  <c r="N684" i="5" s="1"/>
  <c r="AH20" i="19"/>
  <c r="K35" i="7"/>
  <c r="N752" i="5"/>
  <c r="N687" i="5"/>
  <c r="N445" i="5" s="1"/>
  <c r="K584" i="5"/>
  <c r="J585" i="5"/>
  <c r="L585" i="5"/>
  <c r="L584" i="5"/>
  <c r="H37" i="7"/>
  <c r="H39" i="7" s="1"/>
  <c r="AG118" i="19"/>
  <c r="M405" i="5"/>
  <c r="M406" i="5" s="1"/>
  <c r="M396" i="5"/>
  <c r="N395" i="5"/>
  <c r="N821" i="5" s="1"/>
  <c r="L739" i="5"/>
  <c r="L741" i="5" s="1"/>
  <c r="AJ167" i="19"/>
  <c r="AJ32" i="19"/>
  <c r="AE161" i="19"/>
  <c r="L403" i="5"/>
  <c r="L398" i="5"/>
  <c r="O203" i="8"/>
  <c r="O207" i="8" s="1"/>
  <c r="L802" i="5"/>
  <c r="L397" i="5"/>
  <c r="S535" i="5"/>
  <c r="S558" i="5" s="1"/>
  <c r="N205" i="8"/>
  <c r="N209" i="8" s="1"/>
  <c r="K745" i="5"/>
  <c r="O49" i="2" s="1"/>
  <c r="N207" i="8"/>
  <c r="L728" i="5"/>
  <c r="L729" i="5" s="1"/>
  <c r="S601" i="5"/>
  <c r="S544" i="5"/>
  <c r="R558" i="5"/>
  <c r="R537" i="5"/>
  <c r="T188" i="8"/>
  <c r="U9" i="2"/>
  <c r="M684" i="5"/>
  <c r="M688" i="5" s="1"/>
  <c r="R625" i="5"/>
  <c r="N146" i="8" s="1"/>
  <c r="S57" i="8"/>
  <c r="U57" i="8" s="1"/>
  <c r="P460" i="5"/>
  <c r="P715" i="5" s="1"/>
  <c r="P763" i="5" s="1"/>
  <c r="P454" i="5"/>
  <c r="P691" i="5" s="1"/>
  <c r="P758" i="5"/>
  <c r="P572" i="5"/>
  <c r="Q759" i="5"/>
  <c r="P581" i="5"/>
  <c r="P590" i="5"/>
  <c r="P393" i="5"/>
  <c r="P432" i="5"/>
  <c r="P676" i="5"/>
  <c r="P639" i="5"/>
  <c r="P431" i="5"/>
  <c r="P392" i="5"/>
  <c r="P755" i="5"/>
  <c r="P589" i="5"/>
  <c r="P582" i="5"/>
  <c r="P411" i="5"/>
  <c r="P424" i="5" s="1"/>
  <c r="R604" i="5"/>
  <c r="R612" i="5"/>
  <c r="M36" i="7"/>
  <c r="P577" i="5"/>
  <c r="T535" i="5"/>
  <c r="T600" i="5"/>
  <c r="AN134" i="19" s="1"/>
  <c r="T543" i="5"/>
  <c r="P675" i="5"/>
  <c r="P753" i="5"/>
  <c r="AI19" i="19" l="1"/>
  <c r="M646" i="5"/>
  <c r="O643" i="5"/>
  <c r="L35" i="7" s="1"/>
  <c r="O644" i="5"/>
  <c r="O675" i="5" s="1"/>
  <c r="O799" i="5"/>
  <c r="AI158" i="19" s="1"/>
  <c r="O640" i="5"/>
  <c r="AK32" i="19"/>
  <c r="O641" i="5"/>
  <c r="R194" i="8"/>
  <c r="R195" i="8" s="1"/>
  <c r="P761" i="5"/>
  <c r="P800" i="5" s="1"/>
  <c r="Q756" i="5"/>
  <c r="O574" i="5"/>
  <c r="O573" i="5"/>
  <c r="S13" i="2" s="1"/>
  <c r="Q757" i="5"/>
  <c r="Q460" i="5"/>
  <c r="Q715" i="5" s="1"/>
  <c r="Q763" i="5" s="1"/>
  <c r="Q411" i="5"/>
  <c r="Q424" i="5" s="1"/>
  <c r="Q758" i="5"/>
  <c r="Q818" i="5" s="1"/>
  <c r="Q572" i="5"/>
  <c r="Q574" i="5" s="1"/>
  <c r="Q423" i="5"/>
  <c r="Q771" i="5" s="1"/>
  <c r="Q400" i="5"/>
  <c r="Q401" i="5" s="1"/>
  <c r="Q677" i="5"/>
  <c r="Q676" i="5"/>
  <c r="Q581" i="5"/>
  <c r="Q639" i="5"/>
  <c r="T194" i="8" s="1"/>
  <c r="Q431" i="5"/>
  <c r="Q772" i="5" s="1"/>
  <c r="Q454" i="5"/>
  <c r="Q691" i="5" s="1"/>
  <c r="Q761" i="5" s="1"/>
  <c r="Q417" i="5"/>
  <c r="Q644" i="5" s="1"/>
  <c r="Q577" i="5" s="1"/>
  <c r="Q582" i="5"/>
  <c r="T611" i="5"/>
  <c r="S58" i="8" s="1"/>
  <c r="AM135" i="19"/>
  <c r="N645" i="5"/>
  <c r="N650" i="5" s="1"/>
  <c r="N652" i="5" s="1"/>
  <c r="AH115" i="19"/>
  <c r="AJ116" i="19"/>
  <c r="AI116" i="19"/>
  <c r="AI115" i="19"/>
  <c r="Q32" i="2"/>
  <c r="Q33" i="2" s="1"/>
  <c r="L820" i="5"/>
  <c r="AF117" i="19" s="1"/>
  <c r="N753" i="5"/>
  <c r="O430" i="5"/>
  <c r="O434" i="5" s="1"/>
  <c r="O685" i="5" s="1"/>
  <c r="AH21" i="19"/>
  <c r="Q819" i="5"/>
  <c r="P818" i="5"/>
  <c r="N577" i="5"/>
  <c r="N578" i="5" s="1"/>
  <c r="N583" i="5" s="1"/>
  <c r="N815" i="5"/>
  <c r="N675" i="5"/>
  <c r="K36" i="7"/>
  <c r="N814" i="5"/>
  <c r="R657" i="5"/>
  <c r="R590" i="5" s="1"/>
  <c r="K730" i="5"/>
  <c r="J745" i="5"/>
  <c r="N49" i="2" s="1"/>
  <c r="AH158" i="19"/>
  <c r="AH159" i="19"/>
  <c r="L33" i="7"/>
  <c r="R15" i="2"/>
  <c r="S12" i="2"/>
  <c r="R12" i="2"/>
  <c r="M802" i="5"/>
  <c r="J34" i="7"/>
  <c r="O687" i="5"/>
  <c r="O445" i="5" s="1"/>
  <c r="O800" i="5"/>
  <c r="N688" i="5"/>
  <c r="P199" i="8"/>
  <c r="P200" i="8" s="1"/>
  <c r="P201" i="8" s="1"/>
  <c r="J31" i="7"/>
  <c r="J32" i="7" s="1"/>
  <c r="M727" i="5"/>
  <c r="M728" i="5" s="1"/>
  <c r="M729" i="5" s="1"/>
  <c r="M651" i="5"/>
  <c r="M652" i="5"/>
  <c r="M583" i="5"/>
  <c r="M584" i="5" s="1"/>
  <c r="M579" i="5"/>
  <c r="H38" i="7"/>
  <c r="H44" i="7"/>
  <c r="H46" i="7" s="1"/>
  <c r="AJ19" i="19"/>
  <c r="AH118" i="19"/>
  <c r="N405" i="5"/>
  <c r="N406" i="5" s="1"/>
  <c r="O395" i="5"/>
  <c r="N396" i="5"/>
  <c r="M398" i="5"/>
  <c r="M403" i="5"/>
  <c r="M397" i="5"/>
  <c r="P203" i="8"/>
  <c r="P207" i="8" s="1"/>
  <c r="AG22" i="19"/>
  <c r="AG23" i="19" s="1"/>
  <c r="AG24" i="19" s="1"/>
  <c r="M739" i="5"/>
  <c r="M741" i="5" s="1"/>
  <c r="P400" i="5"/>
  <c r="P401" i="5" s="1"/>
  <c r="AF161" i="19"/>
  <c r="V7" i="2"/>
  <c r="V8" i="2" s="1"/>
  <c r="AL18" i="19"/>
  <c r="P772" i="5"/>
  <c r="P774" i="5" s="1"/>
  <c r="O205" i="8"/>
  <c r="O209" i="8" s="1"/>
  <c r="S545" i="5"/>
  <c r="R192" i="5"/>
  <c r="S537" i="5"/>
  <c r="S192" i="5" s="1"/>
  <c r="R57" i="8"/>
  <c r="S611" i="5"/>
  <c r="R58" i="8" s="1"/>
  <c r="I44" i="7"/>
  <c r="I46" i="7" s="1"/>
  <c r="S602" i="5"/>
  <c r="L745" i="5"/>
  <c r="P49" i="2" s="1"/>
  <c r="L730" i="5"/>
  <c r="I38" i="7"/>
  <c r="R552" i="5"/>
  <c r="O422" i="5"/>
  <c r="O426" i="5" s="1"/>
  <c r="O684" i="5" s="1"/>
  <c r="R551" i="5"/>
  <c r="R550" i="5"/>
  <c r="R547" i="5"/>
  <c r="U188" i="8" s="1"/>
  <c r="R553" i="5"/>
  <c r="R193" i="5"/>
  <c r="R195" i="5"/>
  <c r="R191" i="5"/>
  <c r="U186" i="8"/>
  <c r="U187" i="8" s="1"/>
  <c r="R620" i="5"/>
  <c r="R617" i="5"/>
  <c r="R618" i="5"/>
  <c r="R619" i="5"/>
  <c r="T610" i="5"/>
  <c r="T537" i="5"/>
  <c r="S14" i="2"/>
  <c r="S15" i="2"/>
  <c r="P640" i="5"/>
  <c r="S194" i="8"/>
  <c r="P574" i="5"/>
  <c r="R711" i="5"/>
  <c r="O123" i="8"/>
  <c r="O124" i="8" s="1"/>
  <c r="P573" i="5"/>
  <c r="P643" i="5"/>
  <c r="P799" i="5"/>
  <c r="T11" i="2"/>
  <c r="T14" i="2" s="1"/>
  <c r="R717" i="5"/>
  <c r="R765" i="5" s="1"/>
  <c r="R648" i="5"/>
  <c r="R754" i="5" s="1"/>
  <c r="R649" i="5"/>
  <c r="R582" i="5" s="1"/>
  <c r="R719" i="5"/>
  <c r="R767" i="5" s="1"/>
  <c r="R696" i="5"/>
  <c r="R764" i="5" s="1"/>
  <c r="R656" i="5"/>
  <c r="R756" i="5" s="1"/>
  <c r="P641" i="5"/>
  <c r="R718" i="5"/>
  <c r="R766" i="5" s="1"/>
  <c r="O29" i="7"/>
  <c r="R503" i="5"/>
  <c r="R807" i="5" s="1"/>
  <c r="R614" i="5"/>
  <c r="R709" i="5"/>
  <c r="R635" i="5"/>
  <c r="R568" i="5" s="1"/>
  <c r="R636" i="5"/>
  <c r="R569" i="5" s="1"/>
  <c r="R414" i="5"/>
  <c r="R431" i="5" s="1"/>
  <c r="R772" i="5" s="1"/>
  <c r="R695" i="5"/>
  <c r="R759" i="5" s="1"/>
  <c r="R637" i="5"/>
  <c r="R570" i="5" s="1"/>
  <c r="R408" i="5"/>
  <c r="R423" i="5" s="1"/>
  <c r="R771" i="5" s="1"/>
  <c r="R457" i="5"/>
  <c r="R692" i="5" s="1"/>
  <c r="R762" i="5" s="1"/>
  <c r="R710" i="5"/>
  <c r="T545" i="5"/>
  <c r="T558" i="5"/>
  <c r="T602" i="5"/>
  <c r="AN136" i="19" s="1"/>
  <c r="J474" i="5"/>
  <c r="J655" i="5" s="1"/>
  <c r="J30" i="22" s="1"/>
  <c r="O753" i="5" l="1"/>
  <c r="O577" i="5"/>
  <c r="O814" i="5"/>
  <c r="AI111" i="19" s="1"/>
  <c r="R196" i="8"/>
  <c r="AI20" i="19"/>
  <c r="O674" i="5"/>
  <c r="O645" i="5"/>
  <c r="O650" i="5" s="1"/>
  <c r="O651" i="5" s="1"/>
  <c r="L36" i="7"/>
  <c r="O752" i="5"/>
  <c r="AI21" i="19"/>
  <c r="O576" i="5"/>
  <c r="O578" i="5" s="1"/>
  <c r="Q774" i="5"/>
  <c r="Q753" i="5"/>
  <c r="M33" i="7"/>
  <c r="Q643" i="5"/>
  <c r="Q674" i="5" s="1"/>
  <c r="Q573" i="5"/>
  <c r="T196" i="8" s="1"/>
  <c r="Q799" i="5"/>
  <c r="Q814" i="5" s="1"/>
  <c r="AK111" i="19" s="1"/>
  <c r="Q641" i="5"/>
  <c r="N36" i="7"/>
  <c r="U11" i="2"/>
  <c r="U14" i="2" s="1"/>
  <c r="AK19" i="19"/>
  <c r="Q640" i="5"/>
  <c r="N727" i="5"/>
  <c r="N728" i="5" s="1"/>
  <c r="Q675" i="5"/>
  <c r="N646" i="5"/>
  <c r="AK21" i="19"/>
  <c r="N673" i="5"/>
  <c r="N678" i="5" s="1"/>
  <c r="N651" i="5"/>
  <c r="K31" i="7"/>
  <c r="K32" i="7" s="1"/>
  <c r="Q432" i="5"/>
  <c r="Q199" i="8"/>
  <c r="Q200" i="8" s="1"/>
  <c r="Q201" i="8" s="1"/>
  <c r="S612" i="5"/>
  <c r="AM136" i="19"/>
  <c r="P430" i="5"/>
  <c r="P434" i="5" s="1"/>
  <c r="P685" i="5" s="1"/>
  <c r="AH112" i="19"/>
  <c r="P814" i="5"/>
  <c r="AJ111" i="19" s="1"/>
  <c r="AJ115" i="19"/>
  <c r="AK116" i="19"/>
  <c r="P645" i="5"/>
  <c r="AD28" i="19"/>
  <c r="AH111" i="19"/>
  <c r="R32" i="2"/>
  <c r="R33" i="2" s="1"/>
  <c r="P815" i="5"/>
  <c r="AK115" i="19"/>
  <c r="N579" i="5"/>
  <c r="AI159" i="19"/>
  <c r="O815" i="5"/>
  <c r="AI112" i="19" s="1"/>
  <c r="M820" i="5"/>
  <c r="O396" i="5"/>
  <c r="O821" i="5"/>
  <c r="R819" i="5"/>
  <c r="O688" i="5"/>
  <c r="P687" i="5"/>
  <c r="Q687" i="5" s="1"/>
  <c r="Q445" i="5" s="1"/>
  <c r="AG161" i="19"/>
  <c r="J37" i="7"/>
  <c r="J38" i="7" s="1"/>
  <c r="N398" i="5"/>
  <c r="K34" i="7"/>
  <c r="M585" i="5"/>
  <c r="N739" i="5"/>
  <c r="N741" i="5" s="1"/>
  <c r="N585" i="5"/>
  <c r="N584" i="5"/>
  <c r="P395" i="5"/>
  <c r="N403" i="5"/>
  <c r="AH22" i="19"/>
  <c r="AH23" i="19" s="1"/>
  <c r="AH24" i="19" s="1"/>
  <c r="N802" i="5"/>
  <c r="N397" i="5"/>
  <c r="O405" i="5"/>
  <c r="O406" i="5" s="1"/>
  <c r="Q203" i="8"/>
  <c r="Q205" i="8" s="1"/>
  <c r="P205" i="8"/>
  <c r="P209" i="8" s="1"/>
  <c r="AJ159" i="19"/>
  <c r="AJ158" i="19"/>
  <c r="AL167" i="19"/>
  <c r="AL32" i="19"/>
  <c r="P674" i="5"/>
  <c r="AJ20" i="19"/>
  <c r="S547" i="5"/>
  <c r="W9" i="2" s="1"/>
  <c r="S193" i="5"/>
  <c r="S550" i="5"/>
  <c r="S553" i="5"/>
  <c r="S191" i="5"/>
  <c r="S195" i="5"/>
  <c r="S551" i="5"/>
  <c r="T191" i="5"/>
  <c r="S552" i="5"/>
  <c r="S604" i="5"/>
  <c r="M730" i="5"/>
  <c r="M745" i="5"/>
  <c r="Q49" i="2" s="1"/>
  <c r="S625" i="5"/>
  <c r="O146" i="8" s="1"/>
  <c r="P422" i="5"/>
  <c r="P426" i="5" s="1"/>
  <c r="P684" i="5" s="1"/>
  <c r="V9" i="2"/>
  <c r="S196" i="8"/>
  <c r="T13" i="2"/>
  <c r="T552" i="5"/>
  <c r="N33" i="7"/>
  <c r="T625" i="5"/>
  <c r="P146" i="8" s="1"/>
  <c r="T195" i="5"/>
  <c r="T192" i="5"/>
  <c r="T193" i="5"/>
  <c r="T553" i="5"/>
  <c r="T551" i="5"/>
  <c r="T550" i="5"/>
  <c r="T547" i="5"/>
  <c r="T195" i="8"/>
  <c r="S195" i="8"/>
  <c r="Q800" i="5"/>
  <c r="R758" i="5"/>
  <c r="P576" i="5"/>
  <c r="P578" i="5" s="1"/>
  <c r="P752" i="5"/>
  <c r="M35" i="7"/>
  <c r="R677" i="5"/>
  <c r="T15" i="2"/>
  <c r="R755" i="5"/>
  <c r="T12" i="2"/>
  <c r="R460" i="5"/>
  <c r="R715" i="5" s="1"/>
  <c r="R763" i="5" s="1"/>
  <c r="R393" i="5"/>
  <c r="R581" i="5"/>
  <c r="R774" i="5"/>
  <c r="R589" i="5"/>
  <c r="R676" i="5"/>
  <c r="R572" i="5"/>
  <c r="R757" i="5"/>
  <c r="R392" i="5"/>
  <c r="R411" i="5"/>
  <c r="R643" i="5" s="1"/>
  <c r="R639" i="5"/>
  <c r="R417" i="5"/>
  <c r="R432" i="5" s="1"/>
  <c r="R454" i="5"/>
  <c r="R691" i="5" s="1"/>
  <c r="R761" i="5" s="1"/>
  <c r="J806" i="5"/>
  <c r="J588" i="5"/>
  <c r="J592" i="5" s="1"/>
  <c r="T604" i="5"/>
  <c r="T612" i="5"/>
  <c r="J659" i="5"/>
  <c r="J33" i="22" s="1"/>
  <c r="Q645" i="5" l="1"/>
  <c r="Q650" i="5" s="1"/>
  <c r="T199" i="8" s="1"/>
  <c r="T200" i="8" s="1"/>
  <c r="T201" i="8" s="1"/>
  <c r="O646" i="5"/>
  <c r="AK20" i="19"/>
  <c r="Q752" i="5"/>
  <c r="U13" i="2"/>
  <c r="AK158" i="19"/>
  <c r="Q576" i="5"/>
  <c r="Q578" i="5" s="1"/>
  <c r="Q583" i="5" s="1"/>
  <c r="N35" i="7"/>
  <c r="Q209" i="8"/>
  <c r="U15" i="2"/>
  <c r="U12" i="2"/>
  <c r="N729" i="5"/>
  <c r="N745" i="5" s="1"/>
  <c r="R49" i="2" s="1"/>
  <c r="K37" i="7"/>
  <c r="K44" i="7" s="1"/>
  <c r="K46" i="7" s="1"/>
  <c r="P650" i="5"/>
  <c r="Q430" i="5"/>
  <c r="Q434" i="5" s="1"/>
  <c r="Q685" i="5" s="1"/>
  <c r="P646" i="5"/>
  <c r="AJ112" i="19"/>
  <c r="AL116" i="19"/>
  <c r="AI118" i="19"/>
  <c r="Q815" i="5"/>
  <c r="AK112" i="19" s="1"/>
  <c r="S32" i="2"/>
  <c r="S33" i="2" s="1"/>
  <c r="AG117" i="19"/>
  <c r="AI22" i="19"/>
  <c r="AI23" i="19" s="1"/>
  <c r="AI24" i="19" s="1"/>
  <c r="O397" i="5"/>
  <c r="R203" i="8"/>
  <c r="R207" i="8" s="1"/>
  <c r="O739" i="5"/>
  <c r="O741" i="5" s="1"/>
  <c r="O403" i="5"/>
  <c r="L34" i="7"/>
  <c r="AD118" i="19"/>
  <c r="J817" i="5"/>
  <c r="P405" i="5"/>
  <c r="P406" i="5" s="1"/>
  <c r="P821" i="5"/>
  <c r="R818" i="5"/>
  <c r="N820" i="5"/>
  <c r="O398" i="5"/>
  <c r="O802" i="5"/>
  <c r="S657" i="5"/>
  <c r="S757" i="5" s="1"/>
  <c r="P688" i="5"/>
  <c r="P445" i="5"/>
  <c r="J44" i="7"/>
  <c r="J46" i="7" s="1"/>
  <c r="J39" i="7"/>
  <c r="P396" i="5"/>
  <c r="Q395" i="5"/>
  <c r="L31" i="7"/>
  <c r="L32" i="7" s="1"/>
  <c r="R199" i="8"/>
  <c r="R200" i="8" s="1"/>
  <c r="R201" i="8" s="1"/>
  <c r="O673" i="5"/>
  <c r="O678" i="5" s="1"/>
  <c r="O727" i="5"/>
  <c r="O728" i="5" s="1"/>
  <c r="O652" i="5"/>
  <c r="P579" i="5"/>
  <c r="P583" i="5"/>
  <c r="O583" i="5"/>
  <c r="O585" i="5" s="1"/>
  <c r="O579" i="5"/>
  <c r="AH161" i="19"/>
  <c r="AL19" i="19"/>
  <c r="R400" i="5"/>
  <c r="R401" i="5" s="1"/>
  <c r="Q207" i="8"/>
  <c r="AN18" i="19"/>
  <c r="T657" i="5"/>
  <c r="T590" i="5" s="1"/>
  <c r="AD166" i="19"/>
  <c r="S635" i="5"/>
  <c r="S568" i="5" s="1"/>
  <c r="AM18" i="19"/>
  <c r="AK159" i="19"/>
  <c r="R752" i="5"/>
  <c r="AL20" i="19"/>
  <c r="V188" i="8"/>
  <c r="S457" i="5"/>
  <c r="S692" i="5" s="1"/>
  <c r="S762" i="5" s="1"/>
  <c r="X7" i="2"/>
  <c r="Z7" i="2" s="1"/>
  <c r="V186" i="8"/>
  <c r="V187" i="8" s="1"/>
  <c r="S619" i="5"/>
  <c r="W7" i="2"/>
  <c r="W8" i="2" s="1"/>
  <c r="P123" i="8"/>
  <c r="P124" i="8" s="1"/>
  <c r="S695" i="5"/>
  <c r="S759" i="5" s="1"/>
  <c r="S637" i="5"/>
  <c r="S570" i="5" s="1"/>
  <c r="S709" i="5"/>
  <c r="S710" i="5"/>
  <c r="S636" i="5"/>
  <c r="S569" i="5" s="1"/>
  <c r="S719" i="5"/>
  <c r="S767" i="5" s="1"/>
  <c r="S717" i="5"/>
  <c r="S765" i="5" s="1"/>
  <c r="S618" i="5"/>
  <c r="S414" i="5"/>
  <c r="S431" i="5" s="1"/>
  <c r="S772" i="5" s="1"/>
  <c r="S718" i="5"/>
  <c r="S766" i="5" s="1"/>
  <c r="S649" i="5"/>
  <c r="S677" i="5" s="1"/>
  <c r="S711" i="5"/>
  <c r="S696" i="5"/>
  <c r="S764" i="5" s="1"/>
  <c r="S648" i="5"/>
  <c r="S676" i="5" s="1"/>
  <c r="S617" i="5"/>
  <c r="S408" i="5"/>
  <c r="S392" i="5" s="1"/>
  <c r="S614" i="5"/>
  <c r="S503" i="5"/>
  <c r="S807" i="5" s="1"/>
  <c r="P29" i="7"/>
  <c r="Q422" i="5"/>
  <c r="Q426" i="5" s="1"/>
  <c r="R422" i="5" s="1"/>
  <c r="S656" i="5"/>
  <c r="S620" i="5"/>
  <c r="W188" i="8"/>
  <c r="X9" i="2"/>
  <c r="T620" i="5"/>
  <c r="T618" i="5"/>
  <c r="T617" i="5"/>
  <c r="T619" i="5"/>
  <c r="Q123" i="8"/>
  <c r="W186" i="8"/>
  <c r="R799" i="5"/>
  <c r="U194" i="8"/>
  <c r="U195" i="8" s="1"/>
  <c r="R574" i="5"/>
  <c r="V11" i="2"/>
  <c r="V15" i="2" s="1"/>
  <c r="R573" i="5"/>
  <c r="R800" i="5"/>
  <c r="R687" i="5"/>
  <c r="R445" i="5" s="1"/>
  <c r="O33" i="7"/>
  <c r="O35" i="7"/>
  <c r="R640" i="5"/>
  <c r="R674" i="5"/>
  <c r="R644" i="5"/>
  <c r="R424" i="5"/>
  <c r="R576" i="5"/>
  <c r="R641" i="5"/>
  <c r="T457" i="5"/>
  <c r="T692" i="5" s="1"/>
  <c r="T503" i="5"/>
  <c r="T807" i="5" s="1"/>
  <c r="T637" i="5"/>
  <c r="T570" i="5" s="1"/>
  <c r="T648" i="5"/>
  <c r="T676" i="5" s="1"/>
  <c r="T719" i="5"/>
  <c r="T710" i="5"/>
  <c r="T649" i="5"/>
  <c r="T677" i="5" s="1"/>
  <c r="T711" i="5"/>
  <c r="T717" i="5"/>
  <c r="T718" i="5"/>
  <c r="T696" i="5"/>
  <c r="Q29" i="7"/>
  <c r="T656" i="5"/>
  <c r="T756" i="5" s="1"/>
  <c r="T636" i="5"/>
  <c r="T569" i="5" s="1"/>
  <c r="T695" i="5"/>
  <c r="T709" i="5"/>
  <c r="T408" i="5"/>
  <c r="T423" i="5" s="1"/>
  <c r="T771" i="5" s="1"/>
  <c r="T635" i="5"/>
  <c r="T614" i="5"/>
  <c r="T414" i="5"/>
  <c r="J660" i="5"/>
  <c r="Q646" i="5" l="1"/>
  <c r="Q673" i="5"/>
  <c r="Q678" i="5" s="1"/>
  <c r="Q727" i="5"/>
  <c r="Q652" i="5"/>
  <c r="Q651" i="5"/>
  <c r="N31" i="7"/>
  <c r="N32" i="7" s="1"/>
  <c r="R430" i="5"/>
  <c r="R434" i="5" s="1"/>
  <c r="R685" i="5" s="1"/>
  <c r="N730" i="5"/>
  <c r="K39" i="7"/>
  <c r="Q579" i="5"/>
  <c r="J593" i="5"/>
  <c r="J594" i="5" s="1"/>
  <c r="J595" i="5" s="1"/>
  <c r="N19" i="2" s="1"/>
  <c r="J34" i="22"/>
  <c r="M31" i="7"/>
  <c r="M32" i="7" s="1"/>
  <c r="P673" i="5"/>
  <c r="P678" i="5" s="1"/>
  <c r="P652" i="5"/>
  <c r="K38" i="7"/>
  <c r="P727" i="5"/>
  <c r="P728" i="5" s="1"/>
  <c r="P729" i="5" s="1"/>
  <c r="S199" i="8"/>
  <c r="S200" i="8" s="1"/>
  <c r="S201" i="8" s="1"/>
  <c r="P651" i="5"/>
  <c r="R205" i="8"/>
  <c r="R209" i="8" s="1"/>
  <c r="O820" i="5"/>
  <c r="AH117" i="19"/>
  <c r="R814" i="5"/>
  <c r="AL111" i="19" s="1"/>
  <c r="AL115" i="19"/>
  <c r="R645" i="5"/>
  <c r="R650" i="5" s="1"/>
  <c r="AD114" i="19"/>
  <c r="AJ118" i="19"/>
  <c r="R815" i="5"/>
  <c r="AL112" i="19" s="1"/>
  <c r="S819" i="5"/>
  <c r="Q405" i="5"/>
  <c r="Q406" i="5" s="1"/>
  <c r="Q821" i="5"/>
  <c r="AK118" i="19" s="1"/>
  <c r="AI161" i="19"/>
  <c r="P739" i="5"/>
  <c r="P741" i="5" s="1"/>
  <c r="T32" i="2"/>
  <c r="T33" i="2" s="1"/>
  <c r="L37" i="7"/>
  <c r="L44" i="7" s="1"/>
  <c r="L46" i="7" s="1"/>
  <c r="P397" i="5"/>
  <c r="R395" i="5"/>
  <c r="Q396" i="5"/>
  <c r="AJ22" i="19"/>
  <c r="AJ23" i="19" s="1"/>
  <c r="AJ24" i="19" s="1"/>
  <c r="M34" i="7"/>
  <c r="P398" i="5"/>
  <c r="P403" i="5"/>
  <c r="S203" i="8"/>
  <c r="S205" i="8" s="1"/>
  <c r="P802" i="5"/>
  <c r="O729" i="5"/>
  <c r="O730" i="5" s="1"/>
  <c r="O584" i="5"/>
  <c r="Q584" i="5"/>
  <c r="Q585" i="5"/>
  <c r="P585" i="5"/>
  <c r="P584" i="5"/>
  <c r="AN32" i="19"/>
  <c r="AN167" i="19"/>
  <c r="AM167" i="19"/>
  <c r="AM32" i="19"/>
  <c r="AL159" i="19"/>
  <c r="O36" i="7"/>
  <c r="AL21" i="19"/>
  <c r="AL158" i="19"/>
  <c r="T762" i="5"/>
  <c r="S572" i="5"/>
  <c r="S573" i="5" s="1"/>
  <c r="V196" i="8" s="1"/>
  <c r="S754" i="5"/>
  <c r="T759" i="5"/>
  <c r="S454" i="5"/>
  <c r="S691" i="5" s="1"/>
  <c r="S761" i="5" s="1"/>
  <c r="Q124" i="8"/>
  <c r="S590" i="5"/>
  <c r="T764" i="5"/>
  <c r="S417" i="5"/>
  <c r="S432" i="5" s="1"/>
  <c r="T767" i="5"/>
  <c r="S460" i="5"/>
  <c r="S715" i="5" s="1"/>
  <c r="S763" i="5" s="1"/>
  <c r="S581" i="5"/>
  <c r="S758" i="5"/>
  <c r="S755" i="5"/>
  <c r="T766" i="5"/>
  <c r="T765" i="5"/>
  <c r="S639" i="5"/>
  <c r="S582" i="5"/>
  <c r="S393" i="5"/>
  <c r="S411" i="5"/>
  <c r="S424" i="5" s="1"/>
  <c r="R426" i="5"/>
  <c r="R684" i="5" s="1"/>
  <c r="R688" i="5" s="1"/>
  <c r="S423" i="5"/>
  <c r="W187" i="8"/>
  <c r="Y186" i="8"/>
  <c r="Q684" i="5"/>
  <c r="Q688" i="5" s="1"/>
  <c r="S756" i="5"/>
  <c r="S589" i="5"/>
  <c r="Q728" i="5"/>
  <c r="Q729" i="5" s="1"/>
  <c r="U196" i="8"/>
  <c r="V13" i="2"/>
  <c r="V12" i="2"/>
  <c r="V14" i="2"/>
  <c r="R753" i="5"/>
  <c r="R675" i="5"/>
  <c r="R577" i="5"/>
  <c r="R578" i="5" s="1"/>
  <c r="T754" i="5"/>
  <c r="T582" i="5"/>
  <c r="T755" i="5"/>
  <c r="T581" i="5"/>
  <c r="T758" i="5"/>
  <c r="X8" i="2"/>
  <c r="T757" i="5"/>
  <c r="T589" i="5"/>
  <c r="T460" i="5"/>
  <c r="T715" i="5" s="1"/>
  <c r="T411" i="5"/>
  <c r="T643" i="5" s="1"/>
  <c r="T454" i="5"/>
  <c r="T691" i="5" s="1"/>
  <c r="T392" i="5"/>
  <c r="T639" i="5"/>
  <c r="T568" i="5"/>
  <c r="T572" i="5" s="1"/>
  <c r="J596" i="5"/>
  <c r="T431" i="5"/>
  <c r="T417" i="5"/>
  <c r="T393" i="5"/>
  <c r="J661" i="5"/>
  <c r="J35" i="22" s="1"/>
  <c r="J801" i="5"/>
  <c r="J490" i="5"/>
  <c r="S430" i="5" l="1"/>
  <c r="J39" i="22"/>
  <c r="M37" i="7"/>
  <c r="M39" i="7" s="1"/>
  <c r="S209" i="8"/>
  <c r="AM116" i="19"/>
  <c r="R646" i="5"/>
  <c r="AI117" i="19"/>
  <c r="AD29" i="19"/>
  <c r="AD30" i="19" s="1"/>
  <c r="T203" i="8"/>
  <c r="T207" i="8" s="1"/>
  <c r="U32" i="2"/>
  <c r="U33" i="2" s="1"/>
  <c r="R396" i="5"/>
  <c r="R821" i="5"/>
  <c r="T818" i="5"/>
  <c r="N34" i="7"/>
  <c r="N37" i="7" s="1"/>
  <c r="N39" i="7" s="1"/>
  <c r="AD160" i="19"/>
  <c r="J816" i="5"/>
  <c r="S818" i="5"/>
  <c r="AJ161" i="19"/>
  <c r="P820" i="5"/>
  <c r="T819" i="5"/>
  <c r="S395" i="5"/>
  <c r="S405" i="5" s="1"/>
  <c r="S406" i="5" s="1"/>
  <c r="R405" i="5"/>
  <c r="R406" i="5" s="1"/>
  <c r="L38" i="7"/>
  <c r="Q397" i="5"/>
  <c r="Q739" i="5"/>
  <c r="Q741" i="5" s="1"/>
  <c r="Q745" i="5" s="1"/>
  <c r="U49" i="2" s="1"/>
  <c r="Q398" i="5"/>
  <c r="Q403" i="5"/>
  <c r="AK22" i="19"/>
  <c r="AK23" i="19" s="1"/>
  <c r="AK24" i="19" s="1"/>
  <c r="L39" i="7"/>
  <c r="Q802" i="5"/>
  <c r="O745" i="5"/>
  <c r="S49" i="2" s="1"/>
  <c r="S207" i="8"/>
  <c r="R583" i="5"/>
  <c r="R584" i="5" s="1"/>
  <c r="R579" i="5"/>
  <c r="AN20" i="19"/>
  <c r="AN19" i="19"/>
  <c r="T400" i="5"/>
  <c r="T401" i="5" s="1"/>
  <c r="S400" i="5"/>
  <c r="S401" i="5" s="1"/>
  <c r="S687" i="5"/>
  <c r="S574" i="5"/>
  <c r="W13" i="2"/>
  <c r="S799" i="5"/>
  <c r="AM19" i="19"/>
  <c r="J805" i="5"/>
  <c r="S771" i="5"/>
  <c r="S774" i="5" s="1"/>
  <c r="T772" i="5"/>
  <c r="T774" i="5" s="1"/>
  <c r="S644" i="5"/>
  <c r="P33" i="7"/>
  <c r="T761" i="5"/>
  <c r="S434" i="5"/>
  <c r="S685" i="5" s="1"/>
  <c r="W194" i="8"/>
  <c r="T576" i="5"/>
  <c r="S800" i="5"/>
  <c r="T763" i="5"/>
  <c r="S422" i="5"/>
  <c r="S426" i="5" s="1"/>
  <c r="S640" i="5"/>
  <c r="S643" i="5"/>
  <c r="W11" i="2"/>
  <c r="W15" i="2" s="1"/>
  <c r="S641" i="5"/>
  <c r="V194" i="8"/>
  <c r="V195" i="8" s="1"/>
  <c r="P745" i="5"/>
  <c r="T49" i="2" s="1"/>
  <c r="P730" i="5"/>
  <c r="Q730" i="5"/>
  <c r="O31" i="7"/>
  <c r="O32" i="7" s="1"/>
  <c r="U199" i="8"/>
  <c r="U200" i="8" s="1"/>
  <c r="U201" i="8" s="1"/>
  <c r="R727" i="5"/>
  <c r="R673" i="5"/>
  <c r="R678" i="5" s="1"/>
  <c r="R651" i="5"/>
  <c r="R652" i="5"/>
  <c r="N17" i="2"/>
  <c r="N20" i="2" s="1"/>
  <c r="J666" i="5"/>
  <c r="T752" i="5"/>
  <c r="T674" i="5"/>
  <c r="Q35" i="7"/>
  <c r="T424" i="5"/>
  <c r="T574" i="5"/>
  <c r="T573" i="5"/>
  <c r="T641" i="5"/>
  <c r="X11" i="2"/>
  <c r="Z11" i="2" s="1"/>
  <c r="T799" i="5"/>
  <c r="T640" i="5"/>
  <c r="T644" i="5"/>
  <c r="T432" i="5"/>
  <c r="J750" i="5"/>
  <c r="J768" i="5" s="1"/>
  <c r="J526" i="5"/>
  <c r="J527" i="5" s="1"/>
  <c r="J663" i="5"/>
  <c r="J662" i="5"/>
  <c r="J508" i="5"/>
  <c r="J716" i="5"/>
  <c r="J101" i="22" s="1"/>
  <c r="K488" i="5"/>
  <c r="K490" i="5" s="1"/>
  <c r="M44" i="7" l="1"/>
  <c r="M46" i="7" s="1"/>
  <c r="M38" i="7"/>
  <c r="C113" i="11"/>
  <c r="AL118" i="19"/>
  <c r="O34" i="7"/>
  <c r="O37" i="7" s="1"/>
  <c r="O44" i="7" s="1"/>
  <c r="O46" i="7" s="1"/>
  <c r="AN116" i="19"/>
  <c r="AJ117" i="19"/>
  <c r="J824" i="5"/>
  <c r="S815" i="5"/>
  <c r="AM112" i="19" s="1"/>
  <c r="AM115" i="19"/>
  <c r="AN21" i="19"/>
  <c r="S814" i="5"/>
  <c r="R397" i="5"/>
  <c r="T814" i="5"/>
  <c r="AN115" i="19"/>
  <c r="T205" i="8"/>
  <c r="T209" i="8" s="1"/>
  <c r="R403" i="5"/>
  <c r="U203" i="8"/>
  <c r="U205" i="8" s="1"/>
  <c r="U209" i="8" s="1"/>
  <c r="R398" i="5"/>
  <c r="N44" i="7"/>
  <c r="N46" i="7" s="1"/>
  <c r="R739" i="5"/>
  <c r="R741" i="5" s="1"/>
  <c r="AL22" i="19"/>
  <c r="AL23" i="19" s="1"/>
  <c r="AL24" i="19" s="1"/>
  <c r="N38" i="7"/>
  <c r="Q820" i="5"/>
  <c r="S396" i="5"/>
  <c r="S821" i="5"/>
  <c r="R802" i="5"/>
  <c r="V32" i="2"/>
  <c r="V33" i="2" s="1"/>
  <c r="T395" i="5"/>
  <c r="T405" i="5" s="1"/>
  <c r="T406" i="5" s="1"/>
  <c r="AD165" i="19"/>
  <c r="AD117" i="19"/>
  <c r="AK161" i="19"/>
  <c r="R585" i="5"/>
  <c r="S645" i="5"/>
  <c r="T645" i="5"/>
  <c r="S445" i="5"/>
  <c r="T687" i="5"/>
  <c r="T445" i="5" s="1"/>
  <c r="N22" i="2"/>
  <c r="N39" i="2" s="1"/>
  <c r="AT38" i="13" s="1"/>
  <c r="AD14" i="19"/>
  <c r="AD15" i="19" s="1"/>
  <c r="AM159" i="19"/>
  <c r="S674" i="5"/>
  <c r="AM20" i="19"/>
  <c r="AD113" i="19"/>
  <c r="AN158" i="19"/>
  <c r="J808" i="5"/>
  <c r="AM158" i="19"/>
  <c r="P36" i="7"/>
  <c r="AM21" i="19"/>
  <c r="S675" i="5"/>
  <c r="S577" i="5"/>
  <c r="S753" i="5"/>
  <c r="T800" i="5"/>
  <c r="P35" i="7"/>
  <c r="S576" i="5"/>
  <c r="Q33" i="7"/>
  <c r="T430" i="5"/>
  <c r="T434" i="5" s="1"/>
  <c r="T685" i="5" s="1"/>
  <c r="T422" i="5"/>
  <c r="T426" i="5" s="1"/>
  <c r="T684" i="5" s="1"/>
  <c r="S684" i="5"/>
  <c r="S688" i="5" s="1"/>
  <c r="T577" i="5"/>
  <c r="T578" i="5" s="1"/>
  <c r="W14" i="2"/>
  <c r="W12" i="2"/>
  <c r="S752" i="5"/>
  <c r="W195" i="8"/>
  <c r="R728" i="5"/>
  <c r="R729" i="5" s="1"/>
  <c r="W196" i="8"/>
  <c r="X13" i="2"/>
  <c r="N18" i="2"/>
  <c r="J509" i="5"/>
  <c r="J667" i="5"/>
  <c r="X15" i="2"/>
  <c r="X14" i="2"/>
  <c r="X12" i="2"/>
  <c r="Q36" i="7"/>
  <c r="T753" i="5"/>
  <c r="T675" i="5"/>
  <c r="J735" i="5"/>
  <c r="J720" i="5"/>
  <c r="J105" i="22" s="1"/>
  <c r="J792" i="5"/>
  <c r="AD13" i="19" l="1"/>
  <c r="T815" i="5"/>
  <c r="AN112" i="19" s="1"/>
  <c r="AM118" i="19"/>
  <c r="W32" i="2"/>
  <c r="W33" i="2" s="1"/>
  <c r="AK117" i="19"/>
  <c r="AM111" i="19"/>
  <c r="U207" i="8"/>
  <c r="S403" i="5"/>
  <c r="V203" i="8"/>
  <c r="V207" i="8" s="1"/>
  <c r="AM22" i="19"/>
  <c r="AM23" i="19" s="1"/>
  <c r="AM24" i="19" s="1"/>
  <c r="S802" i="5"/>
  <c r="AM161" i="19" s="1"/>
  <c r="S398" i="5"/>
  <c r="S397" i="5"/>
  <c r="T396" i="5"/>
  <c r="T821" i="5"/>
  <c r="R820" i="5"/>
  <c r="AL161" i="19"/>
  <c r="P34" i="7"/>
  <c r="S739" i="5"/>
  <c r="S741" i="5" s="1"/>
  <c r="J809" i="5"/>
  <c r="S578" i="5"/>
  <c r="T579" i="5" s="1"/>
  <c r="T583" i="5"/>
  <c r="T585" i="5" s="1"/>
  <c r="T650" i="5"/>
  <c r="W199" i="8" s="1"/>
  <c r="W200" i="8" s="1"/>
  <c r="W201" i="8" s="1"/>
  <c r="T646" i="5"/>
  <c r="S650" i="5"/>
  <c r="S727" i="5" s="1"/>
  <c r="S728" i="5" s="1"/>
  <c r="S729" i="5" s="1"/>
  <c r="S730" i="5" s="1"/>
  <c r="S646" i="5"/>
  <c r="N23" i="2"/>
  <c r="J669" i="5"/>
  <c r="N29" i="2" s="1"/>
  <c r="N40" i="2" s="1"/>
  <c r="N25" i="2"/>
  <c r="AN159" i="19"/>
  <c r="J780" i="5"/>
  <c r="J477" i="5" s="1"/>
  <c r="J478" i="5" s="1"/>
  <c r="J485" i="5" s="1"/>
  <c r="J495" i="5" s="1"/>
  <c r="C139" i="11" s="1"/>
  <c r="AD172" i="19"/>
  <c r="J810" i="5"/>
  <c r="AD31" i="19"/>
  <c r="AD168" i="19"/>
  <c r="AD170" i="19" s="1"/>
  <c r="AN111" i="19"/>
  <c r="T688" i="5"/>
  <c r="J668" i="5"/>
  <c r="N41" i="2"/>
  <c r="R730" i="5"/>
  <c r="R745" i="5"/>
  <c r="V49" i="2" s="1"/>
  <c r="O39" i="7"/>
  <c r="O38" i="7"/>
  <c r="J513" i="5"/>
  <c r="K507" i="5" s="1"/>
  <c r="J734" i="5"/>
  <c r="S820" i="5" l="1"/>
  <c r="AM117" i="19" s="1"/>
  <c r="V205" i="8"/>
  <c r="AL117" i="19"/>
  <c r="AN118" i="19"/>
  <c r="W203" i="8"/>
  <c r="W207" i="8" s="1"/>
  <c r="T739" i="5"/>
  <c r="T741" i="5" s="1"/>
  <c r="T397" i="5"/>
  <c r="X32" i="2"/>
  <c r="X33" i="2" s="1"/>
  <c r="AN22" i="19"/>
  <c r="AN23" i="19" s="1"/>
  <c r="AN24" i="19" s="1"/>
  <c r="T403" i="5"/>
  <c r="Q34" i="7"/>
  <c r="T802" i="5"/>
  <c r="T398" i="5"/>
  <c r="N26" i="2"/>
  <c r="N27" i="2"/>
  <c r="AD120" i="19"/>
  <c r="AD121" i="19"/>
  <c r="S579" i="5"/>
  <c r="S583" i="5"/>
  <c r="S585" i="5" s="1"/>
  <c r="Q31" i="7"/>
  <c r="Q32" i="7" s="1"/>
  <c r="T673" i="5"/>
  <c r="T678" i="5" s="1"/>
  <c r="T651" i="5"/>
  <c r="S651" i="5"/>
  <c r="T652" i="5"/>
  <c r="P31" i="7"/>
  <c r="P32" i="7" s="1"/>
  <c r="P37" i="7" s="1"/>
  <c r="P39" i="7" s="1"/>
  <c r="V199" i="8"/>
  <c r="V200" i="8" s="1"/>
  <c r="V201" i="8" s="1"/>
  <c r="T727" i="5"/>
  <c r="T728" i="5" s="1"/>
  <c r="S673" i="5"/>
  <c r="S678" i="5" s="1"/>
  <c r="S745" i="5"/>
  <c r="W49" i="2" s="1"/>
  <c r="S652" i="5"/>
  <c r="N30" i="2"/>
  <c r="K483" i="5"/>
  <c r="K493" i="5" s="1"/>
  <c r="K498" i="5" s="1"/>
  <c r="K654" i="5" s="1"/>
  <c r="F240" i="8"/>
  <c r="AZ38" i="13"/>
  <c r="J708" i="5"/>
  <c r="J494" i="5"/>
  <c r="J704" i="5"/>
  <c r="J712" i="5" l="1"/>
  <c r="J97" i="22" s="1"/>
  <c r="J93" i="22"/>
  <c r="V209" i="8"/>
  <c r="J705" i="5"/>
  <c r="J90" i="22" s="1"/>
  <c r="J89" i="22"/>
  <c r="W205" i="8"/>
  <c r="W209" i="8" s="1"/>
  <c r="J778" i="5"/>
  <c r="J785" i="5" s="1"/>
  <c r="C116" i="11"/>
  <c r="C119" i="11" s="1"/>
  <c r="K587" i="5"/>
  <c r="Q37" i="7"/>
  <c r="Q39" i="7" s="1"/>
  <c r="T820" i="5"/>
  <c r="AN161" i="19"/>
  <c r="T584" i="5"/>
  <c r="S584" i="5"/>
  <c r="P38" i="7"/>
  <c r="T729" i="5"/>
  <c r="T745" i="5" s="1"/>
  <c r="X49" i="2" s="1"/>
  <c r="P44" i="7"/>
  <c r="P46" i="7" s="1"/>
  <c r="J793" i="5"/>
  <c r="J794" i="5" s="1"/>
  <c r="G11" i="11" s="1"/>
  <c r="D139" i="11"/>
  <c r="C50" i="7" l="1"/>
  <c r="C51" i="7" s="1"/>
  <c r="C53" i="7" s="1"/>
  <c r="Q44" i="7"/>
  <c r="Q46" i="7" s="1"/>
  <c r="C48" i="7" s="1"/>
  <c r="AD35" i="19"/>
  <c r="AD27" i="19"/>
  <c r="J722" i="5"/>
  <c r="J107" i="22" s="1"/>
  <c r="J111" i="22" s="1"/>
  <c r="J789" i="5"/>
  <c r="J469" i="5" s="1"/>
  <c r="J470" i="5" s="1"/>
  <c r="AN117" i="19"/>
  <c r="D12" i="2"/>
  <c r="C120" i="11"/>
  <c r="C121" i="11" s="1"/>
  <c r="Q38" i="7"/>
  <c r="C54" i="7"/>
  <c r="T730" i="5"/>
  <c r="K468" i="5" l="1"/>
  <c r="K474" i="5" s="1"/>
  <c r="K655" i="5" s="1"/>
  <c r="AE28" i="19" s="1"/>
  <c r="J697" i="5"/>
  <c r="J698" i="5" s="1"/>
  <c r="J471" i="5"/>
  <c r="C140" i="11"/>
  <c r="C141" i="11" s="1"/>
  <c r="C142" i="11" s="1"/>
  <c r="C145" i="11" s="1"/>
  <c r="K716" i="5"/>
  <c r="L488" i="5"/>
  <c r="L490" i="5" s="1"/>
  <c r="K659" i="5" l="1"/>
  <c r="K660" i="5" s="1"/>
  <c r="K801" i="5" s="1"/>
  <c r="AE160" i="19" s="1"/>
  <c r="K806" i="5"/>
  <c r="K817" i="5" s="1"/>
  <c r="K588" i="5"/>
  <c r="K592" i="5" s="1"/>
  <c r="J700" i="5"/>
  <c r="J724" i="5" s="1"/>
  <c r="J1" i="5" s="1"/>
  <c r="J83" i="22"/>
  <c r="J795" i="5"/>
  <c r="C55" i="7" s="1"/>
  <c r="C56" i="7" s="1"/>
  <c r="C58" i="7" s="1"/>
  <c r="J733" i="5"/>
  <c r="J82" i="22"/>
  <c r="J112" i="22" s="1"/>
  <c r="D140" i="11"/>
  <c r="D141" i="11" s="1"/>
  <c r="D142" i="11" s="1"/>
  <c r="AE166" i="19"/>
  <c r="J796" i="5"/>
  <c r="K735" i="5"/>
  <c r="K792" i="5"/>
  <c r="K720" i="5"/>
  <c r="D13" i="2" l="1"/>
  <c r="D14" i="2" s="1"/>
  <c r="D34" i="2" s="1"/>
  <c r="G12" i="11"/>
  <c r="G13" i="11" s="1"/>
  <c r="D20" i="2"/>
  <c r="D23" i="2" s="1"/>
  <c r="K805" i="5"/>
  <c r="AE165" i="19" s="1"/>
  <c r="K816" i="5"/>
  <c r="AE113" i="19" s="1"/>
  <c r="K593" i="5"/>
  <c r="K594" i="5" s="1"/>
  <c r="K596" i="5" s="1"/>
  <c r="K661" i="5"/>
  <c r="O17" i="2" s="1"/>
  <c r="O20" i="2" s="1"/>
  <c r="J732" i="5"/>
  <c r="J85" i="22"/>
  <c r="J110" i="22" s="1"/>
  <c r="D15" i="2"/>
  <c r="T37" i="2" s="1"/>
  <c r="J826" i="5"/>
  <c r="J828" i="5" s="1"/>
  <c r="AE114" i="19"/>
  <c r="AD122" i="19"/>
  <c r="AD123" i="19" s="1"/>
  <c r="AD25" i="19"/>
  <c r="N47" i="2"/>
  <c r="AD7" i="19"/>
  <c r="K734" i="5"/>
  <c r="AE29" i="19" l="1"/>
  <c r="AE30" i="19" s="1"/>
  <c r="K666" i="5"/>
  <c r="O22" i="2" s="1"/>
  <c r="D32" i="2" s="1"/>
  <c r="D33" i="2" s="1"/>
  <c r="K526" i="5"/>
  <c r="K527" i="5" s="1"/>
  <c r="K667" i="5" s="1"/>
  <c r="O41" i="2" s="1"/>
  <c r="K750" i="5"/>
  <c r="K768" i="5" s="1"/>
  <c r="K662" i="5"/>
  <c r="K663" i="5"/>
  <c r="V37" i="2"/>
  <c r="S38" i="2"/>
  <c r="K508" i="5"/>
  <c r="O37" i="2"/>
  <c r="X38" i="2"/>
  <c r="V38" i="2"/>
  <c r="N38" i="2"/>
  <c r="BK34" i="13" s="1"/>
  <c r="O38" i="2"/>
  <c r="D18" i="2" s="1"/>
  <c r="K595" i="5"/>
  <c r="O19" i="2" s="1"/>
  <c r="K824" i="5"/>
  <c r="AE121" i="19" s="1"/>
  <c r="K808" i="5"/>
  <c r="O25" i="2" s="1"/>
  <c r="Q38" i="2"/>
  <c r="AQ38" i="13" s="1"/>
  <c r="J744" i="5"/>
  <c r="N48" i="2" s="1"/>
  <c r="J736" i="5"/>
  <c r="U38" i="2"/>
  <c r="S37" i="2"/>
  <c r="N37" i="2"/>
  <c r="W37" i="2"/>
  <c r="P38" i="2"/>
  <c r="AP38" i="13" s="1"/>
  <c r="M38" i="2"/>
  <c r="T38" i="2"/>
  <c r="X37" i="2"/>
  <c r="W38" i="2"/>
  <c r="P37" i="2"/>
  <c r="R37" i="2"/>
  <c r="Q37" i="2"/>
  <c r="U37" i="2"/>
  <c r="M37" i="2"/>
  <c r="R38" i="2"/>
  <c r="O18" i="2"/>
  <c r="K809" i="5"/>
  <c r="O23" i="2" l="1"/>
  <c r="D21" i="2"/>
  <c r="D22" i="2" s="1"/>
  <c r="AE14" i="19"/>
  <c r="AE15" i="19" s="1"/>
  <c r="O39" i="2"/>
  <c r="D17" i="2" s="1"/>
  <c r="K668" i="5"/>
  <c r="AE13" i="19"/>
  <c r="K509" i="5"/>
  <c r="AE172" i="19" s="1"/>
  <c r="AO38" i="13"/>
  <c r="AN38" i="13"/>
  <c r="K669" i="5"/>
  <c r="O29" i="2" s="1"/>
  <c r="O30" i="2" s="1"/>
  <c r="AE168" i="19"/>
  <c r="AE170" i="19" s="1"/>
  <c r="AE31" i="19"/>
  <c r="K810" i="5"/>
  <c r="J743" i="5"/>
  <c r="J737" i="5"/>
  <c r="O26" i="2"/>
  <c r="O27" i="2"/>
  <c r="AU38" i="13" l="1"/>
  <c r="K780" i="5"/>
  <c r="K477" i="5" s="1"/>
  <c r="K478" i="5" s="1"/>
  <c r="K485" i="5" s="1"/>
  <c r="K495" i="5" s="1"/>
  <c r="K494" i="5" s="1"/>
  <c r="K778" i="5" s="1"/>
  <c r="K785" i="5" s="1"/>
  <c r="K789" i="5" s="1"/>
  <c r="K469" i="5" s="1"/>
  <c r="K470" i="5" s="1"/>
  <c r="K697" i="5" s="1"/>
  <c r="K513" i="5"/>
  <c r="L507" i="5" s="1"/>
  <c r="O40" i="2"/>
  <c r="G240" i="8" s="1"/>
  <c r="K708" i="5"/>
  <c r="K793" i="5" s="1"/>
  <c r="K794" i="5" s="1"/>
  <c r="L483" i="5"/>
  <c r="L493" i="5" s="1"/>
  <c r="L498" i="5" s="1"/>
  <c r="L654" i="5" s="1"/>
  <c r="K704" i="5" l="1"/>
  <c r="K705" i="5" s="1"/>
  <c r="AE27" i="19" s="1"/>
  <c r="BA38" i="13"/>
  <c r="AE35" i="19"/>
  <c r="L587" i="5"/>
  <c r="K712" i="5"/>
  <c r="K722" i="5" s="1"/>
  <c r="L468" i="5"/>
  <c r="L474" i="5" s="1"/>
  <c r="L655" i="5" s="1"/>
  <c r="AF28" i="19" s="1"/>
  <c r="K471" i="5"/>
  <c r="K698" i="5"/>
  <c r="K700" i="5" s="1"/>
  <c r="K733" i="5"/>
  <c r="K795" i="5"/>
  <c r="K796" i="5" s="1"/>
  <c r="M488" i="5"/>
  <c r="M490" i="5" s="1"/>
  <c r="L716" i="5"/>
  <c r="L735" i="5" s="1"/>
  <c r="K724" i="5" l="1"/>
  <c r="K1" i="5" s="1"/>
  <c r="L806" i="5"/>
  <c r="L588" i="5"/>
  <c r="L592" i="5" s="1"/>
  <c r="L659" i="5"/>
  <c r="L660" i="5" s="1"/>
  <c r="L801" i="5" s="1"/>
  <c r="AE25" i="19"/>
  <c r="AE122" i="19"/>
  <c r="AE7" i="19"/>
  <c r="K826" i="5"/>
  <c r="O47" i="2"/>
  <c r="K732" i="5"/>
  <c r="L792" i="5"/>
  <c r="L720" i="5"/>
  <c r="L734" i="5" s="1"/>
  <c r="L661" i="5" l="1"/>
  <c r="L666" i="5" s="1"/>
  <c r="L593" i="5"/>
  <c r="L594" i="5" s="1"/>
  <c r="L596" i="5" s="1"/>
  <c r="AF160" i="19"/>
  <c r="L816" i="5"/>
  <c r="L817" i="5"/>
  <c r="AF166" i="19"/>
  <c r="AE123" i="19"/>
  <c r="L805" i="5"/>
  <c r="K828" i="5"/>
  <c r="K744" i="5"/>
  <c r="O48" i="2" s="1"/>
  <c r="K736" i="5"/>
  <c r="L750" i="5" l="1"/>
  <c r="L768" i="5" s="1"/>
  <c r="L526" i="5"/>
  <c r="L527" i="5" s="1"/>
  <c r="L667" i="5" s="1"/>
  <c r="L668" i="5" s="1"/>
  <c r="L663" i="5"/>
  <c r="L662" i="5"/>
  <c r="L508" i="5"/>
  <c r="AF29" i="19"/>
  <c r="AF30" i="19" s="1"/>
  <c r="P17" i="2"/>
  <c r="P18" i="2" s="1"/>
  <c r="L595" i="5"/>
  <c r="P19" i="2" s="1"/>
  <c r="AF114" i="19"/>
  <c r="L824" i="5"/>
  <c r="AF121" i="19" s="1"/>
  <c r="P22" i="2"/>
  <c r="P39" i="2" s="1"/>
  <c r="AV38" i="13" s="1"/>
  <c r="AF14" i="19"/>
  <c r="AF15" i="19" s="1"/>
  <c r="AF113" i="19"/>
  <c r="L808" i="5"/>
  <c r="AF165" i="19"/>
  <c r="K737" i="5"/>
  <c r="K743" i="5"/>
  <c r="P20" i="2" l="1"/>
  <c r="AF13" i="19"/>
  <c r="L509" i="5"/>
  <c r="L780" i="5" s="1"/>
  <c r="P41" i="2"/>
  <c r="L810" i="5"/>
  <c r="P23" i="2"/>
  <c r="L809" i="5"/>
  <c r="P25" i="2"/>
  <c r="L669" i="5"/>
  <c r="P29" i="2" s="1"/>
  <c r="AF31" i="19"/>
  <c r="AF168" i="19"/>
  <c r="AF170" i="19" s="1"/>
  <c r="L513" i="5" l="1"/>
  <c r="L704" i="5" s="1"/>
  <c r="L705" i="5" s="1"/>
  <c r="AF35" i="19" s="1"/>
  <c r="AF172" i="19"/>
  <c r="P26" i="2"/>
  <c r="P27" i="2"/>
  <c r="L477" i="5"/>
  <c r="L478" i="5" s="1"/>
  <c r="L485" i="5" s="1"/>
  <c r="L495" i="5" s="1"/>
  <c r="L494" i="5" s="1"/>
  <c r="L778" i="5" s="1"/>
  <c r="L785" i="5" s="1"/>
  <c r="P40" i="2"/>
  <c r="P30" i="2"/>
  <c r="N488" i="5"/>
  <c r="N490" i="5" s="1"/>
  <c r="M716" i="5"/>
  <c r="AF27" i="19" l="1"/>
  <c r="M507" i="5"/>
  <c r="M483" i="5"/>
  <c r="M493" i="5" s="1"/>
  <c r="M498" i="5" s="1"/>
  <c r="M654" i="5" s="1"/>
  <c r="L708" i="5"/>
  <c r="L789" i="5"/>
  <c r="L469" i="5" s="1"/>
  <c r="L470" i="5" s="1"/>
  <c r="H240" i="8"/>
  <c r="BB38" i="13"/>
  <c r="M735" i="5"/>
  <c r="M720" i="5"/>
  <c r="M734" i="5" s="1"/>
  <c r="M792" i="5"/>
  <c r="M587" i="5" l="1"/>
  <c r="L793" i="5"/>
  <c r="L794" i="5" s="1"/>
  <c r="L712" i="5"/>
  <c r="L722" i="5" s="1"/>
  <c r="L697" i="5"/>
  <c r="L471" i="5"/>
  <c r="M468" i="5"/>
  <c r="M474" i="5" s="1"/>
  <c r="M655" i="5" s="1"/>
  <c r="M588" i="5" l="1"/>
  <c r="M592" i="5" s="1"/>
  <c r="M659" i="5"/>
  <c r="M806" i="5"/>
  <c r="AG28" i="19"/>
  <c r="L795" i="5"/>
  <c r="L796" i="5" s="1"/>
  <c r="L698" i="5"/>
  <c r="L700" i="5" s="1"/>
  <c r="L733" i="5"/>
  <c r="M817" i="5" l="1"/>
  <c r="AG114" i="19" s="1"/>
  <c r="M660" i="5"/>
  <c r="M661" i="5" s="1"/>
  <c r="L724" i="5"/>
  <c r="L1" i="5" s="1"/>
  <c r="L732" i="5"/>
  <c r="AF7" i="19"/>
  <c r="AF25" i="19"/>
  <c r="L826" i="5"/>
  <c r="L828" i="5" s="1"/>
  <c r="AF122" i="19"/>
  <c r="AF123" i="19" s="1"/>
  <c r="P47" i="2"/>
  <c r="AG166" i="19"/>
  <c r="L744" i="5" l="1"/>
  <c r="P48" i="2" s="1"/>
  <c r="L736" i="5"/>
  <c r="AG29" i="19"/>
  <c r="AG30" i="19" s="1"/>
  <c r="M526" i="5"/>
  <c r="M527" i="5" s="1"/>
  <c r="M666" i="5"/>
  <c r="M663" i="5"/>
  <c r="M662" i="5"/>
  <c r="M750" i="5"/>
  <c r="M768" i="5" s="1"/>
  <c r="M508" i="5"/>
  <c r="Q17" i="2"/>
  <c r="M593" i="5"/>
  <c r="M594" i="5" s="1"/>
  <c r="M801" i="5"/>
  <c r="M816" i="5" l="1"/>
  <c r="Q20" i="2"/>
  <c r="Q18" i="2"/>
  <c r="Q22" i="2"/>
  <c r="AG14" i="19"/>
  <c r="AG15" i="19" s="1"/>
  <c r="M595" i="5"/>
  <c r="Q19" i="2" s="1"/>
  <c r="M596" i="5"/>
  <c r="M667" i="5"/>
  <c r="M509" i="5"/>
  <c r="L737" i="5"/>
  <c r="L743" i="5"/>
  <c r="AG160" i="19"/>
  <c r="M805" i="5"/>
  <c r="M824" i="5" l="1"/>
  <c r="AG121" i="19" s="1"/>
  <c r="AG165" i="19"/>
  <c r="M808" i="5"/>
  <c r="M513" i="5"/>
  <c r="M780" i="5"/>
  <c r="AG172" i="19"/>
  <c r="AG13" i="19"/>
  <c r="M668" i="5"/>
  <c r="Q41" i="2"/>
  <c r="AG113" i="19"/>
  <c r="Q39" i="2"/>
  <c r="AW38" i="13" s="1"/>
  <c r="Q23" i="2"/>
  <c r="O488" i="5"/>
  <c r="O490" i="5" s="1"/>
  <c r="P488" i="5" s="1"/>
  <c r="P490" i="5" s="1"/>
  <c r="N716" i="5"/>
  <c r="M477" i="5" l="1"/>
  <c r="M478" i="5" s="1"/>
  <c r="M485" i="5" s="1"/>
  <c r="AG31" i="19"/>
  <c r="M809" i="5"/>
  <c r="Q25" i="2"/>
  <c r="AG168" i="19"/>
  <c r="AG170" i="19" s="1"/>
  <c r="M810" i="5"/>
  <c r="M669" i="5"/>
  <c r="Q29" i="2" s="1"/>
  <c r="M704" i="5"/>
  <c r="M705" i="5" s="1"/>
  <c r="N507" i="5"/>
  <c r="Q488" i="5"/>
  <c r="Q490" i="5" s="1"/>
  <c r="P716" i="5"/>
  <c r="N735" i="5"/>
  <c r="N720" i="5"/>
  <c r="N734" i="5" s="1"/>
  <c r="N792" i="5"/>
  <c r="Q26" i="2" l="1"/>
  <c r="Q27" i="2"/>
  <c r="N483" i="5"/>
  <c r="N493" i="5" s="1"/>
  <c r="N498" i="5" s="1"/>
  <c r="N654" i="5" s="1"/>
  <c r="M708" i="5"/>
  <c r="M495" i="5"/>
  <c r="M494" i="5" s="1"/>
  <c r="M778" i="5" s="1"/>
  <c r="M785" i="5" s="1"/>
  <c r="M789" i="5" s="1"/>
  <c r="M469" i="5" s="1"/>
  <c r="M470" i="5" s="1"/>
  <c r="M471" i="5" s="1"/>
  <c r="AG27" i="19"/>
  <c r="AG35" i="19"/>
  <c r="Q30" i="2"/>
  <c r="Q40" i="2"/>
  <c r="P735" i="5"/>
  <c r="P792" i="5"/>
  <c r="P720" i="5"/>
  <c r="P734" i="5" s="1"/>
  <c r="R488" i="5"/>
  <c r="R490" i="5" s="1"/>
  <c r="Q716" i="5"/>
  <c r="N587" i="5" l="1"/>
  <c r="M697" i="5"/>
  <c r="M698" i="5" s="1"/>
  <c r="M700" i="5" s="1"/>
  <c r="N468" i="5"/>
  <c r="N474" i="5" s="1"/>
  <c r="N655" i="5" s="1"/>
  <c r="AH28" i="19" s="1"/>
  <c r="M793" i="5"/>
  <c r="M794" i="5" s="1"/>
  <c r="M712" i="5"/>
  <c r="M722" i="5" s="1"/>
  <c r="BC38" i="13"/>
  <c r="I240" i="8"/>
  <c r="Q792" i="5"/>
  <c r="Q735" i="5"/>
  <c r="Q720" i="5"/>
  <c r="Q734" i="5" s="1"/>
  <c r="S488" i="5"/>
  <c r="S490" i="5" s="1"/>
  <c r="R716" i="5"/>
  <c r="N806" i="5" l="1"/>
  <c r="N817" i="5" s="1"/>
  <c r="AH114" i="19" s="1"/>
  <c r="N588" i="5"/>
  <c r="N592" i="5" s="1"/>
  <c r="N659" i="5"/>
  <c r="N660" i="5" s="1"/>
  <c r="N661" i="5" s="1"/>
  <c r="M733" i="5"/>
  <c r="M732" i="5" s="1"/>
  <c r="M795" i="5"/>
  <c r="M796" i="5" s="1"/>
  <c r="M724" i="5"/>
  <c r="M1" i="5" s="1"/>
  <c r="Y1" i="5" s="1"/>
  <c r="T488" i="5"/>
  <c r="T490" i="5" s="1"/>
  <c r="T716" i="5" s="1"/>
  <c r="S716" i="5"/>
  <c r="R735" i="5"/>
  <c r="R792" i="5"/>
  <c r="R720" i="5"/>
  <c r="R734" i="5" s="1"/>
  <c r="AH166" i="19" l="1"/>
  <c r="AG122" i="19"/>
  <c r="AG123" i="19" s="1"/>
  <c r="M826" i="5"/>
  <c r="M828" i="5" s="1"/>
  <c r="Q47" i="2"/>
  <c r="AG7" i="19"/>
  <c r="AG25" i="19"/>
  <c r="N750" i="5"/>
  <c r="N768" i="5" s="1"/>
  <c r="R17" i="2"/>
  <c r="N662" i="5"/>
  <c r="N526" i="5"/>
  <c r="N527" i="5" s="1"/>
  <c r="N508" i="5"/>
  <c r="AH29" i="19"/>
  <c r="AH30" i="19" s="1"/>
  <c r="N663" i="5"/>
  <c r="N666" i="5"/>
  <c r="M744" i="5"/>
  <c r="Q48" i="2" s="1"/>
  <c r="M736" i="5"/>
  <c r="N801" i="5"/>
  <c r="N593" i="5"/>
  <c r="N594" i="5" s="1"/>
  <c r="S735" i="5"/>
  <c r="S792" i="5"/>
  <c r="S720" i="5"/>
  <c r="S734" i="5" s="1"/>
  <c r="T792" i="5"/>
  <c r="T735" i="5"/>
  <c r="T720" i="5"/>
  <c r="T734" i="5" s="1"/>
  <c r="N816" i="5" l="1"/>
  <c r="R22" i="2"/>
  <c r="AH14" i="19"/>
  <c r="AH15" i="19" s="1"/>
  <c r="N596" i="5"/>
  <c r="N595" i="5"/>
  <c r="R19" i="2" s="1"/>
  <c r="AH160" i="19"/>
  <c r="N805" i="5"/>
  <c r="M743" i="5"/>
  <c r="M737" i="5"/>
  <c r="N509" i="5"/>
  <c r="N667" i="5"/>
  <c r="R20" i="2"/>
  <c r="R18" i="2"/>
  <c r="N513" i="5" l="1"/>
  <c r="N704" i="5" s="1"/>
  <c r="N705" i="5" s="1"/>
  <c r="N824" i="5"/>
  <c r="AH121" i="19" s="1"/>
  <c r="AH113" i="19"/>
  <c r="AH13" i="19"/>
  <c r="N668" i="5"/>
  <c r="R41" i="2"/>
  <c r="N780" i="5"/>
  <c r="AH172" i="19"/>
  <c r="AH165" i="19"/>
  <c r="N808" i="5"/>
  <c r="R39" i="2"/>
  <c r="R23" i="2"/>
  <c r="O716" i="5"/>
  <c r="O507" i="5" l="1"/>
  <c r="AH35" i="19"/>
  <c r="AH27" i="19"/>
  <c r="N809" i="5"/>
  <c r="AH168" i="19"/>
  <c r="AH170" i="19" s="1"/>
  <c r="AH31" i="19"/>
  <c r="R25" i="2"/>
  <c r="N669" i="5"/>
  <c r="R29" i="2" s="1"/>
  <c r="N810" i="5"/>
  <c r="N477" i="5"/>
  <c r="N478" i="5" s="1"/>
  <c r="N485" i="5" s="1"/>
  <c r="O735" i="5"/>
  <c r="O720" i="5"/>
  <c r="O734" i="5" s="1"/>
  <c r="O792" i="5"/>
  <c r="R26" i="2" l="1"/>
  <c r="R27" i="2"/>
  <c r="N495" i="5"/>
  <c r="N494" i="5" s="1"/>
  <c r="N778" i="5" s="1"/>
  <c r="N785" i="5" s="1"/>
  <c r="N789" i="5" s="1"/>
  <c r="N469" i="5" s="1"/>
  <c r="N470" i="5" s="1"/>
  <c r="N708" i="5"/>
  <c r="O483" i="5"/>
  <c r="O493" i="5" s="1"/>
  <c r="O498" i="5" s="1"/>
  <c r="O654" i="5" s="1"/>
  <c r="R40" i="2"/>
  <c r="J240" i="8" s="1"/>
  <c r="R30" i="2"/>
  <c r="O587" i="5" l="1"/>
  <c r="O468" i="5"/>
  <c r="O474" i="5" s="1"/>
  <c r="O655" i="5" s="1"/>
  <c r="AI28" i="19" s="1"/>
  <c r="N471" i="5"/>
  <c r="N697" i="5"/>
  <c r="N698" i="5" s="1"/>
  <c r="N700" i="5" s="1"/>
  <c r="N712" i="5"/>
  <c r="N722" i="5" s="1"/>
  <c r="N793" i="5"/>
  <c r="N794" i="5" s="1"/>
  <c r="O588" i="5" l="1"/>
  <c r="O592" i="5" s="1"/>
  <c r="N795" i="5"/>
  <c r="N796" i="5" s="1"/>
  <c r="O806" i="5"/>
  <c r="N733" i="5"/>
  <c r="N732" i="5" s="1"/>
  <c r="O659" i="5"/>
  <c r="O660" i="5" s="1"/>
  <c r="O661" i="5" s="1"/>
  <c r="N724" i="5"/>
  <c r="N1" i="5" s="1"/>
  <c r="N826" i="5" l="1"/>
  <c r="N828" i="5" s="1"/>
  <c r="O817" i="5"/>
  <c r="AI166" i="19"/>
  <c r="AH122" i="19"/>
  <c r="AH123" i="19" s="1"/>
  <c r="AH7" i="19"/>
  <c r="AH25" i="19"/>
  <c r="R47" i="2"/>
  <c r="N744" i="5"/>
  <c r="R48" i="2" s="1"/>
  <c r="N736" i="5"/>
  <c r="O526" i="5"/>
  <c r="O527" i="5" s="1"/>
  <c r="O662" i="5"/>
  <c r="O663" i="5"/>
  <c r="S17" i="2"/>
  <c r="O750" i="5"/>
  <c r="O768" i="5" s="1"/>
  <c r="O666" i="5"/>
  <c r="O508" i="5"/>
  <c r="AI29" i="19"/>
  <c r="AI30" i="19" s="1"/>
  <c r="O801" i="5"/>
  <c r="O593" i="5"/>
  <c r="O594" i="5" s="1"/>
  <c r="O816" i="5" l="1"/>
  <c r="O824" i="5" s="1"/>
  <c r="AI114" i="19"/>
  <c r="AI14" i="19"/>
  <c r="AI15" i="19" s="1"/>
  <c r="S22" i="2"/>
  <c r="S20" i="2"/>
  <c r="S18" i="2"/>
  <c r="O667" i="5"/>
  <c r="O509" i="5"/>
  <c r="O596" i="5"/>
  <c r="O595" i="5"/>
  <c r="S19" i="2" s="1"/>
  <c r="N743" i="5"/>
  <c r="N737" i="5"/>
  <c r="AI160" i="19"/>
  <c r="O805" i="5"/>
  <c r="AI165" i="19" l="1"/>
  <c r="O808" i="5"/>
  <c r="AI113" i="19"/>
  <c r="AI121" i="19"/>
  <c r="O780" i="5"/>
  <c r="AI172" i="19"/>
  <c r="AI13" i="19"/>
  <c r="S41" i="2"/>
  <c r="O668" i="5"/>
  <c r="S39" i="2"/>
  <c r="S23" i="2"/>
  <c r="O513" i="5"/>
  <c r="O669" i="5" l="1"/>
  <c r="S29" i="2" s="1"/>
  <c r="O809" i="5"/>
  <c r="S25" i="2"/>
  <c r="AI168" i="19"/>
  <c r="AI170" i="19" s="1"/>
  <c r="O810" i="5"/>
  <c r="AI31" i="19"/>
  <c r="O704" i="5"/>
  <c r="O705" i="5" s="1"/>
  <c r="P507" i="5"/>
  <c r="O477" i="5"/>
  <c r="O478" i="5" s="1"/>
  <c r="O485" i="5" s="1"/>
  <c r="S26" i="2" l="1"/>
  <c r="S27" i="2"/>
  <c r="O495" i="5"/>
  <c r="O494" i="5" s="1"/>
  <c r="O778" i="5" s="1"/>
  <c r="O785" i="5" s="1"/>
  <c r="O789" i="5" s="1"/>
  <c r="O469" i="5" s="1"/>
  <c r="O470" i="5" s="1"/>
  <c r="O708" i="5"/>
  <c r="P483" i="5"/>
  <c r="P493" i="5" s="1"/>
  <c r="P498" i="5" s="1"/>
  <c r="P654" i="5" s="1"/>
  <c r="AI35" i="19"/>
  <c r="AI27" i="19"/>
  <c r="S40" i="2"/>
  <c r="K240" i="8" s="1"/>
  <c r="S30" i="2"/>
  <c r="P587" i="5" l="1"/>
  <c r="O793" i="5"/>
  <c r="O794" i="5" s="1"/>
  <c r="O712" i="5"/>
  <c r="O722" i="5" s="1"/>
  <c r="O697" i="5"/>
  <c r="P468" i="5"/>
  <c r="P474" i="5" s="1"/>
  <c r="P655" i="5" s="1"/>
  <c r="O471" i="5"/>
  <c r="AJ28" i="19" l="1"/>
  <c r="P659" i="5"/>
  <c r="P588" i="5"/>
  <c r="P592" i="5" s="1"/>
  <c r="P806" i="5"/>
  <c r="O795" i="5"/>
  <c r="O796" i="5" s="1"/>
  <c r="O733" i="5"/>
  <c r="O698" i="5"/>
  <c r="O700" i="5" s="1"/>
  <c r="P817" i="5" l="1"/>
  <c r="AJ114" i="19" s="1"/>
  <c r="O732" i="5"/>
  <c r="O724" i="5"/>
  <c r="O1" i="5" s="1"/>
  <c r="AI7" i="19"/>
  <c r="AI122" i="19"/>
  <c r="AI123" i="19" s="1"/>
  <c r="S47" i="2"/>
  <c r="O826" i="5"/>
  <c r="O828" i="5" s="1"/>
  <c r="AI25" i="19"/>
  <c r="AJ166" i="19"/>
  <c r="P660" i="5"/>
  <c r="P661" i="5" s="1"/>
  <c r="P593" i="5" l="1"/>
  <c r="P594" i="5" s="1"/>
  <c r="P801" i="5"/>
  <c r="O744" i="5"/>
  <c r="S48" i="2" s="1"/>
  <c r="O736" i="5"/>
  <c r="AJ29" i="19"/>
  <c r="AJ30" i="19" s="1"/>
  <c r="P526" i="5"/>
  <c r="P527" i="5" s="1"/>
  <c r="P666" i="5"/>
  <c r="P508" i="5"/>
  <c r="P750" i="5"/>
  <c r="P768" i="5" s="1"/>
  <c r="P663" i="5"/>
  <c r="P662" i="5"/>
  <c r="T17" i="2"/>
  <c r="P816" i="5" l="1"/>
  <c r="T18" i="2"/>
  <c r="T20" i="2"/>
  <c r="T22" i="2"/>
  <c r="AJ14" i="19"/>
  <c r="AJ15" i="19" s="1"/>
  <c r="P667" i="5"/>
  <c r="P509" i="5"/>
  <c r="O737" i="5"/>
  <c r="O743" i="5"/>
  <c r="P805" i="5"/>
  <c r="AJ160" i="19"/>
  <c r="P596" i="5"/>
  <c r="P595" i="5"/>
  <c r="T19" i="2" s="1"/>
  <c r="P513" i="5" l="1"/>
  <c r="Q507" i="5" s="1"/>
  <c r="P824" i="5"/>
  <c r="AJ121" i="19" s="1"/>
  <c r="AJ113" i="19"/>
  <c r="AJ165" i="19"/>
  <c r="P808" i="5"/>
  <c r="P780" i="5"/>
  <c r="AJ172" i="19"/>
  <c r="AJ13" i="19"/>
  <c r="P668" i="5"/>
  <c r="T41" i="2"/>
  <c r="T39" i="2"/>
  <c r="T23" i="2"/>
  <c r="P704" i="5" l="1"/>
  <c r="P705" i="5" s="1"/>
  <c r="AJ35" i="19" s="1"/>
  <c r="P477" i="5"/>
  <c r="P478" i="5" s="1"/>
  <c r="P485" i="5" s="1"/>
  <c r="AJ31" i="19"/>
  <c r="AJ168" i="19"/>
  <c r="AJ170" i="19" s="1"/>
  <c r="P809" i="5"/>
  <c r="P669" i="5"/>
  <c r="T29" i="2" s="1"/>
  <c r="T25" i="2"/>
  <c r="P810" i="5"/>
  <c r="AJ27" i="19" l="1"/>
  <c r="T26" i="2"/>
  <c r="T27" i="2"/>
  <c r="P708" i="5"/>
  <c r="Q483" i="5"/>
  <c r="Q493" i="5" s="1"/>
  <c r="Q498" i="5" s="1"/>
  <c r="Q654" i="5" s="1"/>
  <c r="P495" i="5"/>
  <c r="P494" i="5" s="1"/>
  <c r="P778" i="5" s="1"/>
  <c r="P785" i="5" s="1"/>
  <c r="P789" i="5" s="1"/>
  <c r="P469" i="5" s="1"/>
  <c r="P470" i="5" s="1"/>
  <c r="Q468" i="5" s="1"/>
  <c r="Q474" i="5" s="1"/>
  <c r="Q655" i="5" s="1"/>
  <c r="T40" i="2"/>
  <c r="L240" i="8" s="1"/>
  <c r="T30" i="2"/>
  <c r="Q587" i="5" l="1"/>
  <c r="P471" i="5"/>
  <c r="P697" i="5"/>
  <c r="P698" i="5" s="1"/>
  <c r="P700" i="5" s="1"/>
  <c r="P793" i="5"/>
  <c r="P794" i="5" s="1"/>
  <c r="P712" i="5"/>
  <c r="P722" i="5" s="1"/>
  <c r="Q659" i="5"/>
  <c r="Q588" i="5"/>
  <c r="AK28" i="19"/>
  <c r="Q806" i="5"/>
  <c r="Q592" i="5" l="1"/>
  <c r="Q817" i="5"/>
  <c r="AK114" i="19" s="1"/>
  <c r="P733" i="5"/>
  <c r="P732" i="5" s="1"/>
  <c r="P744" i="5" s="1"/>
  <c r="T48" i="2" s="1"/>
  <c r="P795" i="5"/>
  <c r="P796" i="5" s="1"/>
  <c r="AJ7" i="19" s="1"/>
  <c r="P724" i="5"/>
  <c r="P1" i="5" s="1"/>
  <c r="AK166" i="19"/>
  <c r="Q660" i="5"/>
  <c r="Q661" i="5" s="1"/>
  <c r="AJ122" i="19" l="1"/>
  <c r="AJ123" i="19" s="1"/>
  <c r="P736" i="5"/>
  <c r="P737" i="5" s="1"/>
  <c r="AJ25" i="19"/>
  <c r="P826" i="5"/>
  <c r="P828" i="5" s="1"/>
  <c r="T47" i="2"/>
  <c r="Q663" i="5"/>
  <c r="AK29" i="19"/>
  <c r="AK30" i="19" s="1"/>
  <c r="Q662" i="5"/>
  <c r="Q666" i="5"/>
  <c r="Q526" i="5"/>
  <c r="Q527" i="5" s="1"/>
  <c r="Q750" i="5"/>
  <c r="Q768" i="5" s="1"/>
  <c r="Q508" i="5"/>
  <c r="U17" i="2"/>
  <c r="Q593" i="5"/>
  <c r="Q594" i="5" s="1"/>
  <c r="Q801" i="5"/>
  <c r="P743" i="5" l="1"/>
  <c r="Q816" i="5"/>
  <c r="Q805" i="5"/>
  <c r="AK160" i="19"/>
  <c r="Q596" i="5"/>
  <c r="Q595" i="5"/>
  <c r="U19" i="2" s="1"/>
  <c r="U20" i="2"/>
  <c r="U18" i="2"/>
  <c r="Q667" i="5"/>
  <c r="Q509" i="5"/>
  <c r="U22" i="2"/>
  <c r="AK14" i="19"/>
  <c r="AK15" i="19" s="1"/>
  <c r="Q824" i="5" l="1"/>
  <c r="AK121" i="19" s="1"/>
  <c r="AK172" i="19"/>
  <c r="Q780" i="5"/>
  <c r="U39" i="2"/>
  <c r="U23" i="2"/>
  <c r="AK13" i="19"/>
  <c r="Q668" i="5"/>
  <c r="U41" i="2"/>
  <c r="Q513" i="5"/>
  <c r="AK113" i="19"/>
  <c r="Q808" i="5"/>
  <c r="AK165" i="19"/>
  <c r="AK168" i="19" l="1"/>
  <c r="AK170" i="19" s="1"/>
  <c r="Q810" i="5"/>
  <c r="U25" i="2"/>
  <c r="Q809" i="5"/>
  <c r="AK31" i="19"/>
  <c r="Q669" i="5"/>
  <c r="U29" i="2" s="1"/>
  <c r="R507" i="5"/>
  <c r="Q704" i="5"/>
  <c r="Q705" i="5" s="1"/>
  <c r="Q477" i="5"/>
  <c r="Q478" i="5" s="1"/>
  <c r="Q485" i="5" s="1"/>
  <c r="U26" i="2" l="1"/>
  <c r="U27" i="2"/>
  <c r="Q708" i="5"/>
  <c r="Q495" i="5"/>
  <c r="Q494" i="5" s="1"/>
  <c r="Q778" i="5" s="1"/>
  <c r="Q785" i="5" s="1"/>
  <c r="Q789" i="5" s="1"/>
  <c r="Q469" i="5" s="1"/>
  <c r="Q470" i="5" s="1"/>
  <c r="Q471" i="5" s="1"/>
  <c r="R483" i="5"/>
  <c r="R493" i="5" s="1"/>
  <c r="R498" i="5" s="1"/>
  <c r="R654" i="5" s="1"/>
  <c r="AK35" i="19"/>
  <c r="AK27" i="19"/>
  <c r="U40" i="2"/>
  <c r="M240" i="8" s="1"/>
  <c r="U30" i="2"/>
  <c r="R587" i="5" l="1"/>
  <c r="Q697" i="5"/>
  <c r="Q733" i="5" s="1"/>
  <c r="R468" i="5"/>
  <c r="R474" i="5" s="1"/>
  <c r="R655" i="5" s="1"/>
  <c r="R588" i="5" s="1"/>
  <c r="Q712" i="5"/>
  <c r="Q722" i="5" s="1"/>
  <c r="Q793" i="5"/>
  <c r="Q794" i="5" s="1"/>
  <c r="R592" i="5" l="1"/>
  <c r="AL28" i="19"/>
  <c r="Q795" i="5"/>
  <c r="Q796" i="5" s="1"/>
  <c r="R806" i="5"/>
  <c r="AL166" i="19" s="1"/>
  <c r="R659" i="5"/>
  <c r="R660" i="5" s="1"/>
  <c r="R593" i="5" s="1"/>
  <c r="Q698" i="5"/>
  <c r="Q700" i="5" s="1"/>
  <c r="Q732" i="5" s="1"/>
  <c r="R594" i="5" l="1"/>
  <c r="R595" i="5" s="1"/>
  <c r="V19" i="2" s="1"/>
  <c r="AK25" i="19"/>
  <c r="R817" i="5"/>
  <c r="R801" i="5"/>
  <c r="Q826" i="5"/>
  <c r="Q828" i="5" s="1"/>
  <c r="U47" i="2"/>
  <c r="AK122" i="19"/>
  <c r="AK123" i="19" s="1"/>
  <c r="R661" i="5"/>
  <c r="AK7" i="19"/>
  <c r="Q724" i="5"/>
  <c r="Q1" i="5" s="1"/>
  <c r="Q744" i="5"/>
  <c r="U48" i="2" s="1"/>
  <c r="Q736" i="5"/>
  <c r="R596" i="5" l="1"/>
  <c r="R526" i="5"/>
  <c r="R527" i="5" s="1"/>
  <c r="R509" i="5" s="1"/>
  <c r="R816" i="5"/>
  <c r="AL113" i="19" s="1"/>
  <c r="R805" i="5"/>
  <c r="R808" i="5" s="1"/>
  <c r="AL160" i="19"/>
  <c r="AL114" i="19"/>
  <c r="V17" i="2"/>
  <c r="V20" i="2" s="1"/>
  <c r="AL29" i="19"/>
  <c r="AL30" i="19" s="1"/>
  <c r="R666" i="5"/>
  <c r="R662" i="5"/>
  <c r="R663" i="5"/>
  <c r="R508" i="5"/>
  <c r="R750" i="5"/>
  <c r="R768" i="5" s="1"/>
  <c r="Q743" i="5"/>
  <c r="Q737" i="5"/>
  <c r="R667" i="5" l="1"/>
  <c r="AL13" i="19" s="1"/>
  <c r="AL165" i="19"/>
  <c r="V22" i="2"/>
  <c r="V23" i="2" s="1"/>
  <c r="V18" i="2"/>
  <c r="R824" i="5"/>
  <c r="AL14" i="19"/>
  <c r="AL15" i="19" s="1"/>
  <c r="AL168" i="19"/>
  <c r="AL170" i="19" s="1"/>
  <c r="AL31" i="19"/>
  <c r="R810" i="5"/>
  <c r="R809" i="5"/>
  <c r="V25" i="2"/>
  <c r="R669" i="5"/>
  <c r="V29" i="2" s="1"/>
  <c r="R780" i="5"/>
  <c r="AL172" i="19"/>
  <c r="R513" i="5"/>
  <c r="V39" i="2" l="1"/>
  <c r="V41" i="2"/>
  <c r="R668" i="5"/>
  <c r="AL121" i="19"/>
  <c r="V26" i="2"/>
  <c r="V27" i="2"/>
  <c r="R477" i="5"/>
  <c r="R478" i="5" s="1"/>
  <c r="R485" i="5" s="1"/>
  <c r="V40" i="2"/>
  <c r="N240" i="8" s="1"/>
  <c r="V30" i="2"/>
  <c r="S507" i="5"/>
  <c r="R704" i="5"/>
  <c r="R705" i="5" s="1"/>
  <c r="R708" i="5" l="1"/>
  <c r="S483" i="5"/>
  <c r="S493" i="5" s="1"/>
  <c r="S498" i="5" s="1"/>
  <c r="S654" i="5" s="1"/>
  <c r="R495" i="5"/>
  <c r="R494" i="5" s="1"/>
  <c r="R778" i="5" s="1"/>
  <c r="R785" i="5" s="1"/>
  <c r="R789" i="5" s="1"/>
  <c r="R469" i="5" s="1"/>
  <c r="R470" i="5" s="1"/>
  <c r="R697" i="5" s="1"/>
  <c r="AL35" i="19"/>
  <c r="AL27" i="19"/>
  <c r="S587" i="5" l="1"/>
  <c r="S468" i="5"/>
  <c r="S474" i="5" s="1"/>
  <c r="S655" i="5" s="1"/>
  <c r="S588" i="5" s="1"/>
  <c r="R471" i="5"/>
  <c r="R793" i="5"/>
  <c r="R794" i="5" s="1"/>
  <c r="R712" i="5"/>
  <c r="R722" i="5" s="1"/>
  <c r="R733" i="5"/>
  <c r="R795" i="5"/>
  <c r="R698" i="5"/>
  <c r="R700" i="5" s="1"/>
  <c r="S592" i="5" l="1"/>
  <c r="AM28" i="19"/>
  <c r="S806" i="5"/>
  <c r="AM166" i="19" s="1"/>
  <c r="S659" i="5"/>
  <c r="S660" i="5" s="1"/>
  <c r="S593" i="5" s="1"/>
  <c r="R796" i="5"/>
  <c r="R732" i="5"/>
  <c r="R724" i="5"/>
  <c r="R1" i="5" s="1"/>
  <c r="S594" i="5" l="1"/>
  <c r="S596" i="5" s="1"/>
  <c r="AL7" i="19"/>
  <c r="S817" i="5"/>
  <c r="AL25" i="19"/>
  <c r="S661" i="5"/>
  <c r="R826" i="5"/>
  <c r="R828" i="5" s="1"/>
  <c r="V47" i="2"/>
  <c r="AL122" i="19"/>
  <c r="AL123" i="19" s="1"/>
  <c r="S801" i="5"/>
  <c r="R744" i="5"/>
  <c r="V48" i="2" s="1"/>
  <c r="R736" i="5"/>
  <c r="S595" i="5" l="1"/>
  <c r="W19" i="2" s="1"/>
  <c r="S816" i="5"/>
  <c r="AM113" i="19" s="1"/>
  <c r="S508" i="5"/>
  <c r="S666" i="5"/>
  <c r="AM14" i="19" s="1"/>
  <c r="AM15" i="19" s="1"/>
  <c r="S526" i="5"/>
  <c r="S527" i="5" s="1"/>
  <c r="S509" i="5" s="1"/>
  <c r="AM114" i="19"/>
  <c r="S662" i="5"/>
  <c r="W17" i="2"/>
  <c r="W18" i="2" s="1"/>
  <c r="S663" i="5"/>
  <c r="AM29" i="19"/>
  <c r="AM30" i="19" s="1"/>
  <c r="S750" i="5"/>
  <c r="S768" i="5" s="1"/>
  <c r="AM160" i="19"/>
  <c r="S805" i="5"/>
  <c r="S808" i="5" s="1"/>
  <c r="R737" i="5"/>
  <c r="R743" i="5"/>
  <c r="W20" i="2" l="1"/>
  <c r="AM165" i="19"/>
  <c r="S667" i="5"/>
  <c r="S668" i="5" s="1"/>
  <c r="W22" i="2"/>
  <c r="W39" i="2" s="1"/>
  <c r="S824" i="5"/>
  <c r="AM168" i="19"/>
  <c r="AM170" i="19" s="1"/>
  <c r="AM31" i="19"/>
  <c r="W25" i="2"/>
  <c r="S810" i="5"/>
  <c r="S809" i="5"/>
  <c r="S669" i="5"/>
  <c r="W29" i="2" s="1"/>
  <c r="S780" i="5"/>
  <c r="AM172" i="19"/>
  <c r="S513" i="5"/>
  <c r="AM13" i="19" l="1"/>
  <c r="W23" i="2"/>
  <c r="AM121" i="19"/>
  <c r="W41" i="2"/>
  <c r="W26" i="2"/>
  <c r="W27" i="2"/>
  <c r="T507" i="5"/>
  <c r="S704" i="5"/>
  <c r="S705" i="5" s="1"/>
  <c r="S477" i="5"/>
  <c r="S478" i="5" s="1"/>
  <c r="S485" i="5" s="1"/>
  <c r="W40" i="2"/>
  <c r="O240" i="8" s="1"/>
  <c r="W30" i="2"/>
  <c r="I324" i="5"/>
  <c r="J324" i="5" s="1"/>
  <c r="I328" i="5"/>
  <c r="F94" i="8" s="1"/>
  <c r="T483" i="5" l="1"/>
  <c r="T493" i="5" s="1"/>
  <c r="T498" i="5" s="1"/>
  <c r="T654" i="5" s="1"/>
  <c r="S495" i="5"/>
  <c r="S494" i="5" s="1"/>
  <c r="S778" i="5" s="1"/>
  <c r="S785" i="5" s="1"/>
  <c r="S789" i="5" s="1"/>
  <c r="S469" i="5" s="1"/>
  <c r="S470" i="5" s="1"/>
  <c r="S697" i="5" s="1"/>
  <c r="S708" i="5"/>
  <c r="AM35" i="19"/>
  <c r="AM27" i="19"/>
  <c r="J327" i="5"/>
  <c r="J163" i="5" s="1"/>
  <c r="J165" i="5" s="1"/>
  <c r="J166" i="5" s="1"/>
  <c r="K324" i="5"/>
  <c r="T587" i="5" l="1"/>
  <c r="J333" i="5"/>
  <c r="J330" i="5"/>
  <c r="S471" i="5"/>
  <c r="T468" i="5"/>
  <c r="T474" i="5" s="1"/>
  <c r="T655" i="5" s="1"/>
  <c r="T588" i="5" s="1"/>
  <c r="T592" i="5" s="1"/>
  <c r="S793" i="5"/>
  <c r="S794" i="5" s="1"/>
  <c r="S712" i="5"/>
  <c r="S722" i="5" s="1"/>
  <c r="S733" i="5"/>
  <c r="S795" i="5"/>
  <c r="S698" i="5"/>
  <c r="S700" i="5" s="1"/>
  <c r="J328" i="5"/>
  <c r="G94" i="8" s="1"/>
  <c r="J344" i="5"/>
  <c r="J202" i="5" s="1"/>
  <c r="K327" i="5"/>
  <c r="K333" i="5" s="1"/>
  <c r="L324" i="5"/>
  <c r="G116" i="8" l="1"/>
  <c r="G118" i="8" s="1"/>
  <c r="G119" i="8" s="1"/>
  <c r="G105" i="8"/>
  <c r="T659" i="5"/>
  <c r="T660" i="5" s="1"/>
  <c r="T593" i="5" s="1"/>
  <c r="T594" i="5" s="1"/>
  <c r="AN28" i="19"/>
  <c r="T806" i="5"/>
  <c r="S796" i="5"/>
  <c r="S732" i="5"/>
  <c r="S724" i="5"/>
  <c r="S1" i="5" s="1"/>
  <c r="J538" i="5"/>
  <c r="J175" i="5"/>
  <c r="E231" i="8"/>
  <c r="C135" i="11"/>
  <c r="D144" i="11" s="1"/>
  <c r="D145" i="11" s="1"/>
  <c r="J194" i="5"/>
  <c r="G92" i="8"/>
  <c r="G93" i="8" s="1"/>
  <c r="K338" i="5"/>
  <c r="K334" i="5"/>
  <c r="J338" i="5"/>
  <c r="J334" i="5"/>
  <c r="J345" i="5"/>
  <c r="M324" i="5"/>
  <c r="L327" i="5"/>
  <c r="L333" i="5" s="1"/>
  <c r="K344" i="5"/>
  <c r="K328" i="5"/>
  <c r="H94" i="8" s="1"/>
  <c r="K163" i="5"/>
  <c r="K538" i="5" s="1"/>
  <c r="T801" i="5" l="1"/>
  <c r="T816" i="5" s="1"/>
  <c r="T661" i="5"/>
  <c r="AN29" i="19" s="1"/>
  <c r="AN30" i="19" s="1"/>
  <c r="AM7" i="19"/>
  <c r="T817" i="5"/>
  <c r="W47" i="2"/>
  <c r="AN166" i="19"/>
  <c r="AM25" i="19"/>
  <c r="S826" i="5"/>
  <c r="S828" i="5" s="1"/>
  <c r="AM122" i="19"/>
  <c r="AM123" i="19" s="1"/>
  <c r="K539" i="5"/>
  <c r="K606" i="5" s="1"/>
  <c r="K605" i="5"/>
  <c r="J539" i="5"/>
  <c r="J605" i="5"/>
  <c r="T596" i="5"/>
  <c r="T595" i="5"/>
  <c r="X19" i="2" s="1"/>
  <c r="S744" i="5"/>
  <c r="W48" i="2" s="1"/>
  <c r="S736" i="5"/>
  <c r="J181" i="5"/>
  <c r="J204" i="5"/>
  <c r="J206" i="5" s="1"/>
  <c r="G109" i="8"/>
  <c r="J196" i="5"/>
  <c r="L231" i="8"/>
  <c r="I231" i="8"/>
  <c r="N231" i="8" s="1"/>
  <c r="J556" i="5"/>
  <c r="J180" i="5"/>
  <c r="J167" i="5"/>
  <c r="J178" i="5"/>
  <c r="J188" i="5"/>
  <c r="J179" i="5"/>
  <c r="J185" i="5"/>
  <c r="J186" i="5"/>
  <c r="J187" i="5"/>
  <c r="K194" i="5"/>
  <c r="H92" i="8"/>
  <c r="H93" i="8" s="1"/>
  <c r="K202" i="5"/>
  <c r="J339" i="5"/>
  <c r="G91" i="8"/>
  <c r="L338" i="5"/>
  <c r="L334" i="5"/>
  <c r="K339" i="5"/>
  <c r="H91" i="8"/>
  <c r="K345" i="5"/>
  <c r="K175" i="5"/>
  <c r="K165" i="5"/>
  <c r="L328" i="5"/>
  <c r="I94" i="8" s="1"/>
  <c r="L344" i="5"/>
  <c r="L163" i="5"/>
  <c r="L538" i="5" s="1"/>
  <c r="M327" i="5"/>
  <c r="M333" i="5" s="1"/>
  <c r="N324" i="5"/>
  <c r="J561" i="5" l="1"/>
  <c r="J623" i="5"/>
  <c r="AD139" i="19" s="1"/>
  <c r="T805" i="5"/>
  <c r="AN165" i="19" s="1"/>
  <c r="AN160" i="19"/>
  <c r="T662" i="5"/>
  <c r="T663" i="5"/>
  <c r="T666" i="5"/>
  <c r="X22" i="2" s="1"/>
  <c r="T508" i="5"/>
  <c r="T526" i="5"/>
  <c r="T527" i="5" s="1"/>
  <c r="T509" i="5" s="1"/>
  <c r="T750" i="5"/>
  <c r="T768" i="5" s="1"/>
  <c r="X17" i="2"/>
  <c r="X20" i="2" s="1"/>
  <c r="AN114" i="19"/>
  <c r="T824" i="5"/>
  <c r="AN121" i="19" s="1"/>
  <c r="K540" i="5"/>
  <c r="H116" i="8"/>
  <c r="H118" i="8" s="1"/>
  <c r="H119" i="8" s="1"/>
  <c r="H105" i="8"/>
  <c r="H125" i="8" s="1"/>
  <c r="J606" i="5"/>
  <c r="K607" i="5" s="1"/>
  <c r="J540" i="5"/>
  <c r="L539" i="5"/>
  <c r="L606" i="5" s="1"/>
  <c r="L607" i="5" s="1"/>
  <c r="L605" i="5"/>
  <c r="AN113" i="19"/>
  <c r="S737" i="5"/>
  <c r="S743" i="5"/>
  <c r="T808" i="5"/>
  <c r="F162" i="8"/>
  <c r="J168" i="5"/>
  <c r="J565" i="5"/>
  <c r="G108" i="8"/>
  <c r="J207" i="5"/>
  <c r="J182" i="5"/>
  <c r="J557" i="5"/>
  <c r="J566" i="5" s="1"/>
  <c r="J205" i="5"/>
  <c r="G107" i="8"/>
  <c r="L194" i="5"/>
  <c r="K204" i="5"/>
  <c r="K206" i="5" s="1"/>
  <c r="K187" i="5"/>
  <c r="K186" i="5"/>
  <c r="K185" i="5"/>
  <c r="K188" i="5"/>
  <c r="I92" i="8"/>
  <c r="I93" i="8" s="1"/>
  <c r="L202" i="5"/>
  <c r="M338" i="5"/>
  <c r="M334" i="5"/>
  <c r="I91" i="8"/>
  <c r="L339" i="5"/>
  <c r="L345" i="5"/>
  <c r="K556" i="5"/>
  <c r="K565" i="5" s="1"/>
  <c r="K196" i="5"/>
  <c r="N327" i="5"/>
  <c r="N333" i="5" s="1"/>
  <c r="O324" i="5"/>
  <c r="L165" i="5"/>
  <c r="L179" i="5" s="1"/>
  <c r="L175" i="5"/>
  <c r="K181" i="5"/>
  <c r="K180" i="5"/>
  <c r="K179" i="5"/>
  <c r="K178" i="5"/>
  <c r="K167" i="5"/>
  <c r="K166" i="5"/>
  <c r="M344" i="5"/>
  <c r="M163" i="5"/>
  <c r="M538" i="5" s="1"/>
  <c r="M328" i="5"/>
  <c r="J94" i="8" s="1"/>
  <c r="J608" i="5" l="1"/>
  <c r="K608" i="5" s="1"/>
  <c r="J607" i="5"/>
  <c r="AN14" i="19"/>
  <c r="AN15" i="19" s="1"/>
  <c r="T667" i="5"/>
  <c r="AN13" i="19" s="1"/>
  <c r="Z17" i="2"/>
  <c r="X18" i="2"/>
  <c r="H109" i="8"/>
  <c r="F145" i="8"/>
  <c r="F168" i="8"/>
  <c r="I116" i="8"/>
  <c r="I118" i="8" s="1"/>
  <c r="I119" i="8" s="1"/>
  <c r="I105" i="8"/>
  <c r="I109" i="8" s="1"/>
  <c r="L540" i="5"/>
  <c r="M539" i="5"/>
  <c r="M540" i="5" s="1"/>
  <c r="M605" i="5"/>
  <c r="T780" i="5"/>
  <c r="AN172" i="19"/>
  <c r="Z22" i="2"/>
  <c r="X39" i="2"/>
  <c r="X23" i="2"/>
  <c r="T513" i="5"/>
  <c r="T704" i="5" s="1"/>
  <c r="T705" i="5" s="1"/>
  <c r="AN168" i="19"/>
  <c r="AN170" i="19" s="1"/>
  <c r="AN31" i="19"/>
  <c r="X25" i="2"/>
  <c r="X27" i="2" s="1"/>
  <c r="T810" i="5"/>
  <c r="T809" i="5"/>
  <c r="T669" i="5"/>
  <c r="X29" i="2" s="1"/>
  <c r="J628" i="5"/>
  <c r="J624" i="5"/>
  <c r="J633" i="5" s="1"/>
  <c r="G162" i="8"/>
  <c r="K168" i="5"/>
  <c r="M185" i="8"/>
  <c r="M192" i="8" s="1"/>
  <c r="J632" i="5"/>
  <c r="D65" i="11"/>
  <c r="G126" i="8"/>
  <c r="G128" i="8"/>
  <c r="G133" i="8" s="1"/>
  <c r="H108" i="8"/>
  <c r="K207" i="5"/>
  <c r="K182" i="5"/>
  <c r="J562" i="5"/>
  <c r="F149" i="8" s="1"/>
  <c r="G110" i="8"/>
  <c r="K205" i="5"/>
  <c r="L204" i="5"/>
  <c r="L206" i="5" s="1"/>
  <c r="L187" i="5"/>
  <c r="L186" i="5"/>
  <c r="L185" i="5"/>
  <c r="M194" i="5"/>
  <c r="L188" i="5"/>
  <c r="H107" i="8"/>
  <c r="J92" i="8"/>
  <c r="J93" i="8" s="1"/>
  <c r="M202" i="5"/>
  <c r="N338" i="5"/>
  <c r="N334" i="5"/>
  <c r="M339" i="5"/>
  <c r="J91" i="8"/>
  <c r="M345" i="5"/>
  <c r="L556" i="5"/>
  <c r="L565" i="5" s="1"/>
  <c r="L196" i="5"/>
  <c r="K557" i="5"/>
  <c r="K566" i="5" s="1"/>
  <c r="K623" i="5"/>
  <c r="K561" i="5"/>
  <c r="L166" i="5"/>
  <c r="L167" i="5"/>
  <c r="L168" i="5" s="1"/>
  <c r="L180" i="5"/>
  <c r="L181" i="5"/>
  <c r="L178" i="5"/>
  <c r="P324" i="5"/>
  <c r="O327" i="5"/>
  <c r="O333" i="5" s="1"/>
  <c r="M175" i="5"/>
  <c r="M165" i="5"/>
  <c r="N344" i="5"/>
  <c r="N163" i="5"/>
  <c r="N538" i="5" s="1"/>
  <c r="N328" i="5"/>
  <c r="K94" i="8" s="1"/>
  <c r="X41" i="2" l="1"/>
  <c r="T668" i="5"/>
  <c r="G168" i="8"/>
  <c r="G173" i="8" s="1"/>
  <c r="AE139" i="19"/>
  <c r="F173" i="8"/>
  <c r="G127" i="8"/>
  <c r="G131" i="8"/>
  <c r="G132" i="8" s="1"/>
  <c r="I125" i="8"/>
  <c r="M606" i="5"/>
  <c r="M607" i="5" s="1"/>
  <c r="J105" i="8"/>
  <c r="J125" i="8" s="1"/>
  <c r="J116" i="8"/>
  <c r="J118" i="8" s="1"/>
  <c r="J119" i="8" s="1"/>
  <c r="N539" i="5"/>
  <c r="N540" i="5" s="1"/>
  <c r="N605" i="5"/>
  <c r="F144" i="8"/>
  <c r="F148" i="8" s="1"/>
  <c r="J629" i="5"/>
  <c r="M184" i="8"/>
  <c r="M191" i="8" s="1"/>
  <c r="X26" i="2"/>
  <c r="Z25" i="2"/>
  <c r="AN35" i="19"/>
  <c r="AN27" i="19"/>
  <c r="Z28" i="2"/>
  <c r="X30" i="2"/>
  <c r="X40" i="2"/>
  <c r="P240" i="8" s="1"/>
  <c r="T477" i="5"/>
  <c r="T478" i="5" s="1"/>
  <c r="T485" i="5" s="1"/>
  <c r="D64" i="11"/>
  <c r="K632" i="5"/>
  <c r="E65" i="11"/>
  <c r="D79" i="11"/>
  <c r="D89" i="11"/>
  <c r="G129" i="8"/>
  <c r="H110" i="8"/>
  <c r="H128" i="8"/>
  <c r="H133" i="8" s="1"/>
  <c r="I108" i="8"/>
  <c r="L207" i="5"/>
  <c r="L182" i="5"/>
  <c r="L205" i="5"/>
  <c r="K562" i="5"/>
  <c r="G149" i="8" s="1"/>
  <c r="I107" i="8"/>
  <c r="H126" i="8"/>
  <c r="N194" i="5"/>
  <c r="M204" i="5"/>
  <c r="M206" i="5" s="1"/>
  <c r="M187" i="5"/>
  <c r="M186" i="5"/>
  <c r="M185" i="5"/>
  <c r="M188" i="5"/>
  <c r="G145" i="8"/>
  <c r="N185" i="8"/>
  <c r="N192" i="8" s="1"/>
  <c r="K92" i="8"/>
  <c r="K93" i="8" s="1"/>
  <c r="N202" i="5"/>
  <c r="O338" i="5"/>
  <c r="O334" i="5"/>
  <c r="K91" i="8"/>
  <c r="N339" i="5"/>
  <c r="K624" i="5"/>
  <c r="N345" i="5"/>
  <c r="K628" i="5"/>
  <c r="M556" i="5"/>
  <c r="M565" i="5" s="1"/>
  <c r="M196" i="5"/>
  <c r="M181" i="5"/>
  <c r="L557" i="5"/>
  <c r="L566" i="5" s="1"/>
  <c r="L623" i="5"/>
  <c r="AF139" i="19" s="1"/>
  <c r="L561" i="5"/>
  <c r="P327" i="5"/>
  <c r="P333" i="5" s="1"/>
  <c r="Q324" i="5"/>
  <c r="N165" i="5"/>
  <c r="N175" i="5"/>
  <c r="O163" i="5"/>
  <c r="O538" i="5" s="1"/>
  <c r="O328" i="5"/>
  <c r="L94" i="8" s="1"/>
  <c r="O344" i="5"/>
  <c r="M179" i="5"/>
  <c r="M180" i="5"/>
  <c r="M178" i="5"/>
  <c r="M167" i="5"/>
  <c r="M168" i="5" s="1"/>
  <c r="M166" i="5"/>
  <c r="F172" i="8" l="1"/>
  <c r="F175" i="8" s="1"/>
  <c r="G172" i="8"/>
  <c r="G163" i="8" s="1"/>
  <c r="G134" i="8"/>
  <c r="H127" i="8"/>
  <c r="H131" i="8"/>
  <c r="J109" i="8"/>
  <c r="N606" i="5"/>
  <c r="N607" i="5" s="1"/>
  <c r="K105" i="8"/>
  <c r="K109" i="8" s="1"/>
  <c r="K116" i="8"/>
  <c r="K118" i="8" s="1"/>
  <c r="K119" i="8" s="1"/>
  <c r="D66" i="11"/>
  <c r="D70" i="11" s="1"/>
  <c r="O539" i="5"/>
  <c r="O540" i="5" s="1"/>
  <c r="O605" i="5"/>
  <c r="T708" i="5"/>
  <c r="T495" i="5"/>
  <c r="T494" i="5" s="1"/>
  <c r="T778" i="5" s="1"/>
  <c r="T785" i="5" s="1"/>
  <c r="T789" i="5" s="1"/>
  <c r="T469" i="5" s="1"/>
  <c r="T470" i="5" s="1"/>
  <c r="T697" i="5" s="1"/>
  <c r="D78" i="11"/>
  <c r="D80" i="11" s="1"/>
  <c r="D88" i="11"/>
  <c r="D90" i="11" s="1"/>
  <c r="K633" i="5"/>
  <c r="E64" i="11"/>
  <c r="D94" i="11"/>
  <c r="D99" i="11" s="1"/>
  <c r="E79" i="11"/>
  <c r="E89" i="11"/>
  <c r="L632" i="5"/>
  <c r="F65" i="11"/>
  <c r="H129" i="8"/>
  <c r="I110" i="8"/>
  <c r="I128" i="8"/>
  <c r="I133" i="8" s="1"/>
  <c r="J108" i="8"/>
  <c r="M207" i="5"/>
  <c r="M182" i="5"/>
  <c r="O185" i="8"/>
  <c r="O192" i="8" s="1"/>
  <c r="I126" i="8"/>
  <c r="I131" i="8" s="1"/>
  <c r="L562" i="5"/>
  <c r="H149" i="8" s="1"/>
  <c r="O194" i="5"/>
  <c r="N187" i="5"/>
  <c r="N186" i="5"/>
  <c r="N185" i="5"/>
  <c r="J107" i="8"/>
  <c r="N188" i="5"/>
  <c r="M205" i="5"/>
  <c r="K629" i="5"/>
  <c r="N184" i="8"/>
  <c r="N191" i="8" s="1"/>
  <c r="G144" i="8"/>
  <c r="G148" i="8" s="1"/>
  <c r="L92" i="8"/>
  <c r="L93" i="8" s="1"/>
  <c r="O202" i="5"/>
  <c r="N181" i="5"/>
  <c r="N204" i="5"/>
  <c r="N206" i="5" s="1"/>
  <c r="P334" i="5"/>
  <c r="P338" i="5"/>
  <c r="L91" i="8"/>
  <c r="O339" i="5"/>
  <c r="O345" i="5"/>
  <c r="L628" i="5"/>
  <c r="H145" i="8"/>
  <c r="N556" i="5"/>
  <c r="N565" i="5" s="1"/>
  <c r="N196" i="5"/>
  <c r="L624" i="5"/>
  <c r="M557" i="5"/>
  <c r="M566" i="5" s="1"/>
  <c r="M623" i="5"/>
  <c r="AG139" i="19" s="1"/>
  <c r="M561" i="5"/>
  <c r="O175" i="5"/>
  <c r="O165" i="5"/>
  <c r="N178" i="5"/>
  <c r="N180" i="5"/>
  <c r="N167" i="5"/>
  <c r="N168" i="5" s="1"/>
  <c r="N179" i="5"/>
  <c r="N166" i="5"/>
  <c r="R324" i="5"/>
  <c r="Q327" i="5"/>
  <c r="Q333" i="5" s="1"/>
  <c r="P163" i="5"/>
  <c r="P538" i="5" s="1"/>
  <c r="P344" i="5"/>
  <c r="P328" i="5"/>
  <c r="M94" i="8" s="1"/>
  <c r="F163" i="8" l="1"/>
  <c r="G175" i="8"/>
  <c r="I134" i="8"/>
  <c r="K125" i="8"/>
  <c r="I132" i="8"/>
  <c r="H134" i="8"/>
  <c r="H132" i="8"/>
  <c r="D85" i="11"/>
  <c r="D69" i="11"/>
  <c r="L116" i="8"/>
  <c r="L118" i="8" s="1"/>
  <c r="L119" i="8" s="1"/>
  <c r="L105" i="8"/>
  <c r="L109" i="8" s="1"/>
  <c r="O606" i="5"/>
  <c r="O607" i="5" s="1"/>
  <c r="P539" i="5"/>
  <c r="P540" i="5" s="1"/>
  <c r="P605" i="5"/>
  <c r="T471" i="5"/>
  <c r="T793" i="5"/>
  <c r="T794" i="5" s="1"/>
  <c r="T712" i="5"/>
  <c r="T722" i="5" s="1"/>
  <c r="T733" i="5"/>
  <c r="T795" i="5"/>
  <c r="T698" i="5"/>
  <c r="T700" i="5" s="1"/>
  <c r="D93" i="11"/>
  <c r="D98" i="11" s="1"/>
  <c r="E94" i="11"/>
  <c r="E99" i="11" s="1"/>
  <c r="M632" i="5"/>
  <c r="G65" i="11"/>
  <c r="D75" i="11"/>
  <c r="D76" i="11" s="1"/>
  <c r="D95" i="11"/>
  <c r="D100" i="11" s="1"/>
  <c r="L633" i="5"/>
  <c r="F64" i="11"/>
  <c r="E78" i="11"/>
  <c r="E80" i="11" s="1"/>
  <c r="E66" i="11"/>
  <c r="E70" i="11" s="1"/>
  <c r="E88" i="11"/>
  <c r="F79" i="11"/>
  <c r="F89" i="11"/>
  <c r="I129" i="8"/>
  <c r="J110" i="8"/>
  <c r="J128" i="8"/>
  <c r="J133" i="8" s="1"/>
  <c r="K108" i="8"/>
  <c r="N207" i="5"/>
  <c r="N182" i="5"/>
  <c r="P185" i="8"/>
  <c r="P192" i="8" s="1"/>
  <c r="O184" i="8"/>
  <c r="O191" i="8" s="1"/>
  <c r="M562" i="5"/>
  <c r="I149" i="8" s="1"/>
  <c r="J126" i="8"/>
  <c r="J131" i="8" s="1"/>
  <c r="J132" i="8" s="1"/>
  <c r="O187" i="5"/>
  <c r="O186" i="5"/>
  <c r="O185" i="5"/>
  <c r="P194" i="5"/>
  <c r="O188" i="5"/>
  <c r="I127" i="8"/>
  <c r="N205" i="5"/>
  <c r="K107" i="8"/>
  <c r="K128" i="8" s="1"/>
  <c r="K133" i="8" s="1"/>
  <c r="O181" i="5"/>
  <c r="O204" i="5"/>
  <c r="O206" i="5" s="1"/>
  <c r="M92" i="8"/>
  <c r="M93" i="8" s="1"/>
  <c r="P202" i="5"/>
  <c r="Q334" i="5"/>
  <c r="Q338" i="5"/>
  <c r="P339" i="5"/>
  <c r="M91" i="8"/>
  <c r="P345" i="5"/>
  <c r="M624" i="5"/>
  <c r="I145" i="8"/>
  <c r="L629" i="5"/>
  <c r="H144" i="8"/>
  <c r="H148" i="8" s="1"/>
  <c r="O556" i="5"/>
  <c r="O565" i="5" s="1"/>
  <c r="O196" i="5"/>
  <c r="M628" i="5"/>
  <c r="N623" i="5"/>
  <c r="AH139" i="19" s="1"/>
  <c r="N561" i="5"/>
  <c r="N557" i="5"/>
  <c r="N566" i="5" s="1"/>
  <c r="P165" i="5"/>
  <c r="P188" i="5" s="1"/>
  <c r="P175" i="5"/>
  <c r="O166" i="5"/>
  <c r="O167" i="5"/>
  <c r="O168" i="5" s="1"/>
  <c r="O179" i="5"/>
  <c r="O180" i="5"/>
  <c r="O178" i="5"/>
  <c r="R327" i="5"/>
  <c r="R333" i="5" s="1"/>
  <c r="S324" i="5"/>
  <c r="Q328" i="5"/>
  <c r="N94" i="8" s="1"/>
  <c r="Q344" i="5"/>
  <c r="Q163" i="5"/>
  <c r="Q538" i="5" s="1"/>
  <c r="J134" i="8" l="1"/>
  <c r="P606" i="5"/>
  <c r="P607" i="5" s="1"/>
  <c r="L125" i="8"/>
  <c r="M105" i="8"/>
  <c r="M109" i="8" s="1"/>
  <c r="M116" i="8"/>
  <c r="M118" i="8" s="1"/>
  <c r="M119" i="8" s="1"/>
  <c r="T796" i="5"/>
  <c r="E69" i="11"/>
  <c r="Q539" i="5"/>
  <c r="Q540" i="5" s="1"/>
  <c r="Q605" i="5"/>
  <c r="T732" i="5"/>
  <c r="T724" i="5"/>
  <c r="T1" i="5" s="1"/>
  <c r="F94" i="11"/>
  <c r="F99" i="11" s="1"/>
  <c r="E93" i="11"/>
  <c r="E98" i="11" s="1"/>
  <c r="E90" i="11"/>
  <c r="E85" i="11" s="1"/>
  <c r="E75" i="11"/>
  <c r="E76" i="11" s="1"/>
  <c r="G79" i="11"/>
  <c r="G89" i="11"/>
  <c r="M633" i="5"/>
  <c r="G64" i="11"/>
  <c r="N632" i="5"/>
  <c r="H65" i="11"/>
  <c r="F78" i="11"/>
  <c r="F88" i="11"/>
  <c r="F90" i="11" s="1"/>
  <c r="F66" i="11"/>
  <c r="F70" i="11" s="1"/>
  <c r="J129" i="8"/>
  <c r="L108" i="8"/>
  <c r="O207" i="5"/>
  <c r="O182" i="5"/>
  <c r="P184" i="8"/>
  <c r="P191" i="8" s="1"/>
  <c r="N562" i="5"/>
  <c r="J149" i="8" s="1"/>
  <c r="P187" i="5"/>
  <c r="P186" i="5"/>
  <c r="P185" i="5"/>
  <c r="Q194" i="5"/>
  <c r="J145" i="8"/>
  <c r="Q185" i="8"/>
  <c r="Q192" i="8" s="1"/>
  <c r="J127" i="8"/>
  <c r="K110" i="8"/>
  <c r="P181" i="5"/>
  <c r="P204" i="5"/>
  <c r="P206" i="5" s="1"/>
  <c r="N92" i="8"/>
  <c r="N93" i="8" s="1"/>
  <c r="Q202" i="5"/>
  <c r="O205" i="5"/>
  <c r="L107" i="8"/>
  <c r="R334" i="5"/>
  <c r="R338" i="5"/>
  <c r="Q339" i="5"/>
  <c r="N91" i="8"/>
  <c r="Q345" i="5"/>
  <c r="N628" i="5"/>
  <c r="N624" i="5"/>
  <c r="M629" i="5"/>
  <c r="I144" i="8"/>
  <c r="I148" i="8" s="1"/>
  <c r="P556" i="5"/>
  <c r="P565" i="5" s="1"/>
  <c r="P196" i="5"/>
  <c r="O623" i="5"/>
  <c r="AI139" i="19" s="1"/>
  <c r="O561" i="5"/>
  <c r="O557" i="5"/>
  <c r="O566" i="5" s="1"/>
  <c r="P166" i="5"/>
  <c r="P178" i="5"/>
  <c r="P179" i="5"/>
  <c r="P167" i="5"/>
  <c r="P168" i="5" s="1"/>
  <c r="P180" i="5"/>
  <c r="R328" i="5"/>
  <c r="O94" i="8" s="1"/>
  <c r="R163" i="5"/>
  <c r="R538" i="5" s="1"/>
  <c r="R344" i="5"/>
  <c r="Q175" i="5"/>
  <c r="Q165" i="5"/>
  <c r="S327" i="5"/>
  <c r="S333" i="5" s="1"/>
  <c r="T324" i="5"/>
  <c r="T327" i="5" s="1"/>
  <c r="T333" i="5" s="1"/>
  <c r="T826" i="5" l="1"/>
  <c r="T828" i="5" s="1"/>
  <c r="L128" i="8"/>
  <c r="L133" i="8" s="1"/>
  <c r="AN7" i="19"/>
  <c r="AN25" i="19"/>
  <c r="X47" i="2"/>
  <c r="AN122" i="19"/>
  <c r="AN123" i="19" s="1"/>
  <c r="M125" i="8"/>
  <c r="Q606" i="5"/>
  <c r="Q607" i="5" s="1"/>
  <c r="N116" i="8"/>
  <c r="N118" i="8" s="1"/>
  <c r="N119" i="8" s="1"/>
  <c r="N105" i="8"/>
  <c r="N125" i="8" s="1"/>
  <c r="F69" i="11"/>
  <c r="R539" i="5"/>
  <c r="R540" i="5" s="1"/>
  <c r="R605" i="5"/>
  <c r="T744" i="5"/>
  <c r="X48" i="2" s="1"/>
  <c r="T736" i="5"/>
  <c r="E95" i="11"/>
  <c r="E100" i="11" s="1"/>
  <c r="G94" i="11"/>
  <c r="G99" i="11" s="1"/>
  <c r="F85" i="11"/>
  <c r="N633" i="5"/>
  <c r="H64" i="11"/>
  <c r="F80" i="11"/>
  <c r="F93" i="11"/>
  <c r="F98" i="11" s="1"/>
  <c r="H79" i="11"/>
  <c r="H89" i="11"/>
  <c r="G78" i="11"/>
  <c r="G66" i="11"/>
  <c r="G70" i="11" s="1"/>
  <c r="G88" i="11"/>
  <c r="G90" i="11" s="1"/>
  <c r="O632" i="5"/>
  <c r="I65" i="11"/>
  <c r="M108" i="8"/>
  <c r="P207" i="5"/>
  <c r="P182" i="5"/>
  <c r="R185" i="8"/>
  <c r="R192" i="8" s="1"/>
  <c r="O562" i="5"/>
  <c r="K149" i="8" s="1"/>
  <c r="Q204" i="5"/>
  <c r="Q206" i="5" s="1"/>
  <c r="Q187" i="5"/>
  <c r="Q186" i="5"/>
  <c r="Q185" i="5"/>
  <c r="R194" i="5"/>
  <c r="Q188" i="5"/>
  <c r="N629" i="5"/>
  <c r="Q184" i="8"/>
  <c r="Q191" i="8" s="1"/>
  <c r="K126" i="8"/>
  <c r="L110" i="8"/>
  <c r="M107" i="8"/>
  <c r="P205" i="5"/>
  <c r="O92" i="8"/>
  <c r="O93" i="8" s="1"/>
  <c r="R202" i="5"/>
  <c r="J144" i="8"/>
  <c r="J148" i="8" s="1"/>
  <c r="S334" i="5"/>
  <c r="S338" i="5"/>
  <c r="O91" i="8"/>
  <c r="R339" i="5"/>
  <c r="T338" i="5"/>
  <c r="T334" i="5"/>
  <c r="R345" i="5"/>
  <c r="O624" i="5"/>
  <c r="K145" i="8"/>
  <c r="O628" i="5"/>
  <c r="Q181" i="5"/>
  <c r="Q556" i="5"/>
  <c r="Q565" i="5" s="1"/>
  <c r="Q196" i="5"/>
  <c r="P623" i="5"/>
  <c r="AJ139" i="19" s="1"/>
  <c r="P561" i="5"/>
  <c r="P557" i="5"/>
  <c r="P566" i="5" s="1"/>
  <c r="R175" i="5"/>
  <c r="R165" i="5"/>
  <c r="Q180" i="5"/>
  <c r="Q167" i="5"/>
  <c r="Q168" i="5" s="1"/>
  <c r="Q166" i="5"/>
  <c r="Q179" i="5"/>
  <c r="Q178" i="5"/>
  <c r="T344" i="5"/>
  <c r="T328" i="5"/>
  <c r="Q94" i="8" s="1"/>
  <c r="T163" i="5"/>
  <c r="T538" i="5" s="1"/>
  <c r="S328" i="5"/>
  <c r="P94" i="8" s="1"/>
  <c r="S344" i="5"/>
  <c r="S163" i="5"/>
  <c r="S538" i="5" s="1"/>
  <c r="K129" i="8" l="1"/>
  <c r="K131" i="8"/>
  <c r="N109" i="8"/>
  <c r="M128" i="8"/>
  <c r="M133" i="8" s="1"/>
  <c r="O105" i="8"/>
  <c r="O125" i="8" s="1"/>
  <c r="O116" i="8"/>
  <c r="O118" i="8" s="1"/>
  <c r="O119" i="8" s="1"/>
  <c r="R606" i="5"/>
  <c r="R607" i="5" s="1"/>
  <c r="G69" i="11"/>
  <c r="T539" i="5"/>
  <c r="T606" i="5" s="1"/>
  <c r="T605" i="5"/>
  <c r="S539" i="5"/>
  <c r="S540" i="5" s="1"/>
  <c r="S605" i="5"/>
  <c r="T737" i="5"/>
  <c r="T743" i="5"/>
  <c r="H94" i="11"/>
  <c r="H99" i="11" s="1"/>
  <c r="G85" i="11"/>
  <c r="P632" i="5"/>
  <c r="J65" i="11"/>
  <c r="F95" i="11"/>
  <c r="F100" i="11" s="1"/>
  <c r="F75" i="11"/>
  <c r="F76" i="11" s="1"/>
  <c r="O633" i="5"/>
  <c r="I64" i="11"/>
  <c r="I79" i="11"/>
  <c r="I89" i="11"/>
  <c r="H78" i="11"/>
  <c r="H80" i="11" s="1"/>
  <c r="H66" i="11"/>
  <c r="H70" i="11" s="1"/>
  <c r="H88" i="11"/>
  <c r="G80" i="11"/>
  <c r="G93" i="11"/>
  <c r="G98" i="11" s="1"/>
  <c r="N108" i="8"/>
  <c r="Q207" i="5"/>
  <c r="Q182" i="5"/>
  <c r="R184" i="8"/>
  <c r="R191" i="8" s="1"/>
  <c r="N107" i="8"/>
  <c r="N128" i="8" s="1"/>
  <c r="N133" i="8" s="1"/>
  <c r="P562" i="5"/>
  <c r="L149" i="8" s="1"/>
  <c r="Q205" i="5"/>
  <c r="S194" i="5"/>
  <c r="R187" i="5"/>
  <c r="R186" i="5"/>
  <c r="R185" i="5"/>
  <c r="R188" i="5"/>
  <c r="T194" i="5"/>
  <c r="L145" i="8"/>
  <c r="S185" i="8"/>
  <c r="S192" i="8" s="1"/>
  <c r="K127" i="8"/>
  <c r="L126" i="8"/>
  <c r="M110" i="8"/>
  <c r="P92" i="8"/>
  <c r="P93" i="8" s="1"/>
  <c r="S202" i="5"/>
  <c r="R181" i="5"/>
  <c r="R204" i="5"/>
  <c r="R206" i="5" s="1"/>
  <c r="Q92" i="8"/>
  <c r="S92" i="8" s="1"/>
  <c r="T202" i="5"/>
  <c r="Q91" i="8"/>
  <c r="T339" i="5"/>
  <c r="P91" i="8"/>
  <c r="S339" i="5"/>
  <c r="S345" i="5"/>
  <c r="P628" i="5"/>
  <c r="P624" i="5"/>
  <c r="O629" i="5"/>
  <c r="K144" i="8"/>
  <c r="K148" i="8" s="1"/>
  <c r="R556" i="5"/>
  <c r="R565" i="5" s="1"/>
  <c r="R196" i="5"/>
  <c r="T345" i="5"/>
  <c r="Q557" i="5"/>
  <c r="Q566" i="5" s="1"/>
  <c r="Q623" i="5"/>
  <c r="AK139" i="19" s="1"/>
  <c r="Q561" i="5"/>
  <c r="R180" i="5"/>
  <c r="R179" i="5"/>
  <c r="R178" i="5"/>
  <c r="R167" i="5"/>
  <c r="R168" i="5" s="1"/>
  <c r="R166" i="5"/>
  <c r="T175" i="5"/>
  <c r="T165" i="5"/>
  <c r="V165" i="5" s="1"/>
  <c r="S175" i="5"/>
  <c r="S165" i="5"/>
  <c r="K134" i="8" l="1"/>
  <c r="K132" i="8"/>
  <c r="L129" i="8"/>
  <c r="L131" i="8"/>
  <c r="O109" i="8"/>
  <c r="P105" i="8"/>
  <c r="P125" i="8" s="1"/>
  <c r="P116" i="8"/>
  <c r="P118" i="8" s="1"/>
  <c r="P119" i="8" s="1"/>
  <c r="Q116" i="8"/>
  <c r="Q118" i="8" s="1"/>
  <c r="Q105" i="8"/>
  <c r="Q109" i="8" s="1"/>
  <c r="S606" i="5"/>
  <c r="S607" i="5" s="1"/>
  <c r="T540" i="5"/>
  <c r="H69" i="11"/>
  <c r="I94" i="11"/>
  <c r="I99" i="11" s="1"/>
  <c r="H93" i="11"/>
  <c r="H98" i="11" s="1"/>
  <c r="H90" i="11"/>
  <c r="H85" i="11" s="1"/>
  <c r="Q632" i="5"/>
  <c r="K65" i="11"/>
  <c r="H75" i="11"/>
  <c r="G75" i="11"/>
  <c r="G76" i="11" s="1"/>
  <c r="G95" i="11"/>
  <c r="G100" i="11" s="1"/>
  <c r="P633" i="5"/>
  <c r="J64" i="11"/>
  <c r="J79" i="11"/>
  <c r="J89" i="11"/>
  <c r="I78" i="11"/>
  <c r="I80" i="11" s="1"/>
  <c r="I88" i="11"/>
  <c r="I66" i="11"/>
  <c r="I70" i="11" s="1"/>
  <c r="U202" i="5"/>
  <c r="O108" i="8"/>
  <c r="R207" i="5"/>
  <c r="R182" i="5"/>
  <c r="N110" i="8"/>
  <c r="T185" i="8"/>
  <c r="T192" i="8" s="1"/>
  <c r="Q562" i="5"/>
  <c r="M149" i="8" s="1"/>
  <c r="T188" i="5"/>
  <c r="S204" i="5"/>
  <c r="S206" i="5" s="1"/>
  <c r="S187" i="5"/>
  <c r="S186" i="5"/>
  <c r="S185" i="5"/>
  <c r="T187" i="5"/>
  <c r="T186" i="5"/>
  <c r="T185" i="5"/>
  <c r="S188" i="5"/>
  <c r="P629" i="5"/>
  <c r="S184" i="8"/>
  <c r="S191" i="8" s="1"/>
  <c r="L127" i="8"/>
  <c r="N126" i="8"/>
  <c r="M126" i="8"/>
  <c r="M131" i="8" s="1"/>
  <c r="M132" i="8" s="1"/>
  <c r="Q93" i="8"/>
  <c r="O107" i="8"/>
  <c r="O128" i="8" s="1"/>
  <c r="O133" i="8" s="1"/>
  <c r="R205" i="5"/>
  <c r="T181" i="5"/>
  <c r="T204" i="5"/>
  <c r="L144" i="8"/>
  <c r="L148" i="8" s="1"/>
  <c r="Q624" i="5"/>
  <c r="M145" i="8"/>
  <c r="Q628" i="5"/>
  <c r="S181" i="5"/>
  <c r="S556" i="5"/>
  <c r="S565" i="5" s="1"/>
  <c r="S196" i="5"/>
  <c r="T556" i="5"/>
  <c r="T196" i="5"/>
  <c r="R557" i="5"/>
  <c r="R566" i="5" s="1"/>
  <c r="R623" i="5"/>
  <c r="AL139" i="19" s="1"/>
  <c r="R561" i="5"/>
  <c r="T178" i="5"/>
  <c r="T179" i="5"/>
  <c r="T167" i="5"/>
  <c r="T180" i="5"/>
  <c r="T166" i="5"/>
  <c r="S166" i="5"/>
  <c r="S179" i="5"/>
  <c r="S178" i="5"/>
  <c r="S167" i="5"/>
  <c r="S168" i="5" s="1"/>
  <c r="S180" i="5"/>
  <c r="T565" i="5" l="1"/>
  <c r="V556" i="5"/>
  <c r="L134" i="8"/>
  <c r="L132" i="8"/>
  <c r="M134" i="8"/>
  <c r="N129" i="8"/>
  <c r="N131" i="8"/>
  <c r="P109" i="8"/>
  <c r="S118" i="8"/>
  <c r="Q119" i="8"/>
  <c r="T607" i="5"/>
  <c r="I69" i="11"/>
  <c r="H95" i="11"/>
  <c r="H100" i="11" s="1"/>
  <c r="T206" i="5"/>
  <c r="Q108" i="8" s="1"/>
  <c r="V204" i="5"/>
  <c r="H76" i="11"/>
  <c r="T168" i="5"/>
  <c r="I93" i="11"/>
  <c r="I98" i="11" s="1"/>
  <c r="I90" i="11"/>
  <c r="I85" i="11" s="1"/>
  <c r="R632" i="5"/>
  <c r="L65" i="11"/>
  <c r="K89" i="11"/>
  <c r="K79" i="11"/>
  <c r="J94" i="11"/>
  <c r="J99" i="11" s="1"/>
  <c r="J78" i="11"/>
  <c r="J88" i="11"/>
  <c r="J90" i="11" s="1"/>
  <c r="J66" i="11"/>
  <c r="J70" i="11" s="1"/>
  <c r="Q633" i="5"/>
  <c r="K64" i="11"/>
  <c r="I75" i="11"/>
  <c r="I76" i="11" s="1"/>
  <c r="Q125" i="8"/>
  <c r="M127" i="8"/>
  <c r="M129" i="8"/>
  <c r="P108" i="8"/>
  <c r="S207" i="5"/>
  <c r="T182" i="5"/>
  <c r="S182" i="5"/>
  <c r="P107" i="8"/>
  <c r="U185" i="8"/>
  <c r="U192" i="8" s="1"/>
  <c r="T184" i="8"/>
  <c r="T191" i="8" s="1"/>
  <c r="R562" i="5"/>
  <c r="N149" i="8" s="1"/>
  <c r="S205" i="5"/>
  <c r="N127" i="8"/>
  <c r="O110" i="8"/>
  <c r="Q107" i="8"/>
  <c r="T205" i="5"/>
  <c r="R628" i="5"/>
  <c r="N145" i="8"/>
  <c r="Q629" i="5"/>
  <c r="M144" i="8"/>
  <c r="M148" i="8" s="1"/>
  <c r="R624" i="5"/>
  <c r="T557" i="5"/>
  <c r="T623" i="5"/>
  <c r="T561" i="5"/>
  <c r="S557" i="5"/>
  <c r="S566" i="5" s="1"/>
  <c r="S623" i="5"/>
  <c r="AM139" i="19" s="1"/>
  <c r="S561" i="5"/>
  <c r="AN139" i="19" l="1"/>
  <c r="V623" i="5"/>
  <c r="N134" i="8"/>
  <c r="N132" i="8"/>
  <c r="T566" i="5"/>
  <c r="V557" i="5"/>
  <c r="J69" i="11"/>
  <c r="T207" i="5"/>
  <c r="I95" i="11"/>
  <c r="I100" i="11" s="1"/>
  <c r="R633" i="5"/>
  <c r="L64" i="11"/>
  <c r="S632" i="5"/>
  <c r="M65" i="11"/>
  <c r="J85" i="11"/>
  <c r="J93" i="11"/>
  <c r="J98" i="11" s="1"/>
  <c r="J80" i="11"/>
  <c r="K94" i="11"/>
  <c r="K99" i="11" s="1"/>
  <c r="L79" i="11"/>
  <c r="L89" i="11"/>
  <c r="K78" i="11"/>
  <c r="K66" i="11"/>
  <c r="K70" i="11" s="1"/>
  <c r="K88" i="11"/>
  <c r="K90" i="11" s="1"/>
  <c r="T632" i="5"/>
  <c r="N65" i="11"/>
  <c r="Q128" i="8"/>
  <c r="Q133" i="8" s="1"/>
  <c r="P110" i="8"/>
  <c r="P128" i="8"/>
  <c r="P133" i="8" s="1"/>
  <c r="P126" i="8"/>
  <c r="P131" i="8" s="1"/>
  <c r="V185" i="8"/>
  <c r="V192" i="8" s="1"/>
  <c r="U184" i="8"/>
  <c r="U191" i="8" s="1"/>
  <c r="S562" i="5"/>
  <c r="O149" i="8" s="1"/>
  <c r="P145" i="8"/>
  <c r="R145" i="8" s="1"/>
  <c r="W185" i="8"/>
  <c r="Q126" i="8"/>
  <c r="S126" i="8" s="1"/>
  <c r="O126" i="8"/>
  <c r="O131" i="8" s="1"/>
  <c r="S107" i="8"/>
  <c r="Q110" i="8"/>
  <c r="T628" i="5"/>
  <c r="T624" i="5"/>
  <c r="V624" i="5" s="1"/>
  <c r="R629" i="5"/>
  <c r="N144" i="8"/>
  <c r="N148" i="8" s="1"/>
  <c r="S628" i="5"/>
  <c r="O145" i="8"/>
  <c r="S624" i="5"/>
  <c r="T562" i="5"/>
  <c r="P149" i="8" s="1"/>
  <c r="H534" i="5"/>
  <c r="H551" i="5" s="1"/>
  <c r="I611" i="5"/>
  <c r="H58" i="8" s="1"/>
  <c r="P132" i="8" l="1"/>
  <c r="O134" i="8"/>
  <c r="O132" i="8"/>
  <c r="P134" i="8"/>
  <c r="Q131" i="8"/>
  <c r="K69" i="11"/>
  <c r="K85" i="11"/>
  <c r="K93" i="11"/>
  <c r="K98" i="11" s="1"/>
  <c r="K80" i="11"/>
  <c r="S633" i="5"/>
  <c r="M64" i="11"/>
  <c r="L94" i="11"/>
  <c r="L99" i="11" s="1"/>
  <c r="J75" i="11"/>
  <c r="J76" i="11" s="1"/>
  <c r="J95" i="11"/>
  <c r="J100" i="11" s="1"/>
  <c r="M79" i="11"/>
  <c r="M89" i="11"/>
  <c r="T633" i="5"/>
  <c r="N64" i="11"/>
  <c r="L78" i="11"/>
  <c r="L88" i="11"/>
  <c r="L90" i="11" s="1"/>
  <c r="L66" i="11"/>
  <c r="L70" i="11" s="1"/>
  <c r="N79" i="11"/>
  <c r="N89" i="11"/>
  <c r="O127" i="8"/>
  <c r="O129" i="8"/>
  <c r="P129" i="8"/>
  <c r="Q129" i="8"/>
  <c r="W192" i="8"/>
  <c r="Y185" i="8"/>
  <c r="P144" i="8"/>
  <c r="R144" i="8" s="1"/>
  <c r="W184" i="8"/>
  <c r="Y184" i="8" s="1"/>
  <c r="T629" i="5"/>
  <c r="V184" i="8"/>
  <c r="V191" i="8" s="1"/>
  <c r="Q127" i="8"/>
  <c r="P127" i="8"/>
  <c r="S629" i="5"/>
  <c r="O144" i="8"/>
  <c r="I544" i="5"/>
  <c r="Q134" i="8" l="1"/>
  <c r="Q132" i="8"/>
  <c r="L69" i="11"/>
  <c r="N94" i="11"/>
  <c r="N99" i="11" s="1"/>
  <c r="L85" i="11"/>
  <c r="L80" i="11"/>
  <c r="L93" i="11"/>
  <c r="L98" i="11" s="1"/>
  <c r="N88" i="11"/>
  <c r="N90" i="11" s="1"/>
  <c r="N66" i="11"/>
  <c r="N70" i="11" s="1"/>
  <c r="N78" i="11"/>
  <c r="M94" i="11"/>
  <c r="M99" i="11" s="1"/>
  <c r="M88" i="11"/>
  <c r="M90" i="11" s="1"/>
  <c r="M66" i="11"/>
  <c r="M70" i="11" s="1"/>
  <c r="M78" i="11"/>
  <c r="K95" i="11"/>
  <c r="K100" i="11" s="1"/>
  <c r="K75" i="11"/>
  <c r="K76" i="11" s="1"/>
  <c r="W191" i="8"/>
  <c r="O148" i="8"/>
  <c r="P148" i="8"/>
  <c r="N69" i="11" l="1"/>
  <c r="M69" i="11"/>
  <c r="N85" i="11"/>
  <c r="P85" i="11" s="1"/>
  <c r="M80" i="11"/>
  <c r="M93" i="11"/>
  <c r="M98" i="11" s="1"/>
  <c r="M85" i="11"/>
  <c r="N80" i="11"/>
  <c r="N93" i="11"/>
  <c r="N98" i="11" s="1"/>
  <c r="L75" i="11"/>
  <c r="L76" i="11" s="1"/>
  <c r="L95" i="11"/>
  <c r="L100" i="11" s="1"/>
  <c r="N75" i="11" l="1"/>
  <c r="N95" i="11"/>
  <c r="N100" i="11" s="1"/>
  <c r="M75" i="11"/>
  <c r="M76" i="11" s="1"/>
  <c r="M95" i="11"/>
  <c r="M100" i="11" s="1"/>
  <c r="N76" i="11" l="1"/>
  <c r="P75" i="11"/>
  <c r="Q7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A1" authorId="0" shapeId="0" xr:uid="{BB1CBDCE-2FD4-4DBA-9C47-73B5B8CB2281}">
      <text>
        <r>
          <rPr>
            <b/>
            <sz val="9"/>
            <color indexed="81"/>
            <rFont val="Tahoma"/>
            <charset val="1"/>
          </rPr>
          <t>&lt;?xml version="1.0" encoding="utf-8"?&gt;&lt;Schema xmlns:xsd="http://www.w3.org/2001/XMLSchema" xmlns:xsi="http://www.w3.org/2001/XMLSchema-instance" Version="2" Timestamp="1761812272"&gt;&lt;FQL&gt;&lt;Q&gt;VOD-ZA^FG_MKT_VALUE(0,,,USD)&lt;/Q&gt;&lt;R&gt;1&lt;/R&gt;&lt;C&gt;1&lt;/C&gt;&lt;D xsi:type="xsd:double"&gt;14797.863&lt;/D&gt;&lt;/FQL&gt;&lt;FQL&gt;&lt;Q&gt;GOTO-ID^FG_COMPANY_NAME&lt;/Q&gt;&lt;R&gt;1&lt;/R&gt;&lt;C&gt;1&lt;/C&gt;&lt;D xsi:type="xsd:string"&gt;PT GoTo Gojek Tokopedia Tbk&lt;/D&gt;&lt;/FQL&gt;&lt;FQL&gt;&lt;Q&gt;IDEA-NSE^FF_NET_DEBT(ANN_R,0,,,,USD,M)&lt;/Q&gt;&lt;R&gt;1&lt;/R&gt;&lt;C&gt;1&lt;/C&gt;&lt;D xsi:type="xsd:double"&gt;26050.5065352172&lt;/D&gt;&lt;/FQL&gt;&lt;FQL&gt;&lt;Q&gt;UBER-US^FG_MKT_VALUE(0,,,USD)&lt;/Q&gt;&lt;R&gt;1&lt;/R&gt;&lt;C&gt;1&lt;/C&gt;&lt;D xsi:type="xsd:double"&gt;188897.34&lt;/D&gt;&lt;/FQL&gt;&lt;FQL&gt;&lt;Q&gt;VEON-US^FE_ESTIMATE(SALES,MEAN,ANN_ROLL,2,0,,,'CURRENCY=USD')&lt;/Q&gt;&lt;R&gt;1&lt;/R&gt;&lt;C&gt;1&lt;/C&gt;&lt;D xsi:type="xsd:double"&gt;4555.4&lt;/D&gt;&lt;/FQL&gt;&lt;FQL&gt;&lt;Q&gt;ADVANC-BKK^FE_ESTIMATE(SALES,MEAN,ANN_ROLL,0,0,,,'CURRENCY=USD')&lt;/Q&gt;&lt;R&gt;1&lt;/R&gt;&lt;C&gt;1&lt;/C&gt;&lt;D xsi:type="xsd:double"&gt;6346.7803&lt;/D&gt;&lt;/FQL&gt;&lt;FQL&gt;&lt;Q&gt;VIVT3-BR^FG_MKT_VALUE(0,,,USD)&lt;/Q&gt;&lt;R&gt;1&lt;/R&gt;&lt;C&gt;1&lt;/C&gt;&lt;D xsi:type="xsd:double"&gt;19463.537&lt;/D&gt;&lt;/FQL&gt;&lt;FQL&gt;&lt;Q&gt;AAF-GB^FE_ESTIMATE(SALES,MEAN,ANN_ROLL,1,0,,,'CURRENCY=USD')&lt;/Q&gt;&lt;R&gt;1&lt;/R&gt;&lt;C&gt;1&lt;/C&gt;&lt;D xsi:type="xsd:double"&gt;5881.181&lt;/D&gt;&lt;/FQL&gt;&lt;FQL&gt;&lt;Q&gt;941-HKG^FE_ESTIMATE(SALES,MEAN,ANN_ROLL,1,0,,,'CURRENCY=USD')&lt;/Q&gt;&lt;R&gt;1&lt;/R&gt;&lt;C&gt;1&lt;/C&gt;&lt;D xsi:type="xsd:double"&gt;147544.56&lt;/D&gt;&lt;/FQL&gt;&lt;FQL&gt;&lt;Q&gt;AMX-US^FG_ENT_VALUE(0,,,USD)&lt;/Q&gt;&lt;R&gt;1&lt;/R&gt;&lt;C&gt;1&lt;/C&gt;&lt;D xsi:type="xsd:double"&gt;100124.69&lt;/D&gt;&lt;/FQL&gt;&lt;FQL&gt;&lt;Q&gt;TRUE-BKK^FE_ESTIMATE(EBITDA,MEAN,ANN_ROLL,1,0,,,'CURRENCY=USD')&lt;/Q&gt;&lt;R&gt;1&lt;/R&gt;&lt;C&gt;1&lt;/C&gt;&lt;D xsi:type="xsd:double"&gt;3269.0437&lt;/D&gt;&lt;/FQL&gt;&lt;FQL&gt;&lt;Q&gt;762-HKG^FE_ESTIMATE(EBITDA,MEAN,ANN_ROLL,2,0,,,'CURRENCY=USD')&lt;/Q&gt;&lt;R&gt;1&lt;/R&gt;&lt;C&gt;1&lt;/C&gt;&lt;D xsi:type="xsd:double"&gt;14181.034&lt;/D&gt;&lt;/FQL&gt;&lt;FQL&gt;&lt;Q&gt;IDEA-NSE^FG_COMPANY_NAME&lt;/Q&gt;&lt;R&gt;1&lt;/R&gt;&lt;C&gt;1&lt;/C&gt;&lt;D xsi:type="xsd:string"&gt;Vodafone Idea Ltd&lt;/D&gt;&lt;/FQL&gt;&lt;FQL&gt;&lt;Q&gt;941-HKG^FF_NET_DEBT(ANN_R,0,,,,USD,M)&lt;/Q&gt;&lt;R&gt;1&lt;/R&gt;&lt;C&gt;1&lt;/C&gt;&lt;D xsi:type="xsd:double"&gt;-43611.7421490001&lt;/D&gt;&lt;/FQL&gt;&lt;FQL&gt;&lt;Q&gt;TRUE-BKK^FE_ESTIMATE(SALES,MEAN,ANN_ROLL,0,0,,,'CURRENCY=USD')&lt;/Q&gt;&lt;R&gt;1&lt;/R&gt;&lt;C&gt;1&lt;/C&gt;&lt;D xsi:type="xsd:double"&gt;6120.6113&lt;/D&gt;&lt;/FQL&gt;&lt;FQL&gt;&lt;Q&gt;AAF-GB^FG_COMPANY_NAME&lt;/Q&gt;&lt;R&gt;1&lt;/R&gt;&lt;C&gt;1&lt;/C&gt;&lt;D xsi:type="xsd:string"&gt;Airtel Africa Plc&lt;/D&gt;&lt;/FQL&gt;&lt;FQL&gt;&lt;Q&gt;BHARTIARTL-NSE^FE_ESTIMATE(EBITDA,MEAN,ANN_ROLL,1,0,,,'CURRENCY=USD')&lt;/Q&gt;&lt;R&gt;1&lt;/R&gt;&lt;C&gt;1&lt;/C&gt;&lt;D xsi:type="xsd:double"&gt;13322.99&lt;/D&gt;&lt;/FQL&gt;&lt;FQL&gt;&lt;Q&gt;UBER-US^FE_ESTIMATE(EBITDA,MEAN,ANN_ROLL,0,0,,,'CURRENCY=USD')&lt;/Q&gt;&lt;R&gt;1&lt;/R&gt;&lt;C&gt;1&lt;/C&gt;&lt;D xsi:type="xsd:double"&gt;6484&lt;/D&gt;&lt;/FQL&gt;&lt;FQL&gt;&lt;Q&gt;EXCL-JKT^FE_ESTIMATE(SALES,MEAN,ANN_ROLL,0,0,,,'CURRENCY=USD')&lt;/Q&gt;&lt;R&gt;1&lt;/R&gt;&lt;C&gt;1&lt;/C&gt;&lt;D xsi:type="xsd:double"&gt;2121.5037&lt;/D&gt;&lt;/FQL&gt;&lt;FQL&gt;&lt;Q&gt;ADVANC-BKK^FF_NET_DEBT(ANN_R,0,,,,USD,M)&lt;/Q&gt;&lt;R&gt;1&lt;/R&gt;&lt;C&gt;1&lt;/C&gt;&lt;D xsi:type="xsd:double"&gt;7139.07805250466&lt;/D&gt;&lt;/FQL&gt;&lt;FQL&gt;&lt;Q&gt;TLKM-JKT^FE_ESTIMATE(EBITDA,MEAN,ANN_ROLL,0,0,,,'CURRENCY=USD')&lt;/Q&gt;&lt;R&gt;1&lt;/R&gt;&lt;C&gt;1&lt;/C&gt;&lt;D xsi:type="xsd:double"&gt;4465.4727&lt;/D&gt;&lt;/FQL&gt;&lt;FQL&gt;&lt;Q&gt;AMX-US^FE_ESTIMATE(EBITDA,MEAN,ANN_ROLL,0,0,,,'CURRENCY=USD')&lt;/Q&gt;&lt;R&gt;1&lt;/R&gt;&lt;C&gt;1&lt;/C&gt;&lt;D xsi:type="xsd:double"&gt;16941.527&lt;/D&gt;&lt;/FQL&gt;&lt;FQL&gt;&lt;Q&gt;EXCL-JKT^FE_ESTIMATE(EBITDA,MEAN,ANN_ROLL,1,0,,,'CURRENCY=USD')&lt;/Q&gt;&lt;R&gt;1&lt;/R&gt;&lt;C&gt;1&lt;/C&gt;&lt;D xsi:type="xsd:double"&gt;1330.5345&lt;/D&gt;&lt;/FQL&gt;&lt;FQL&gt;&lt;Q&gt;TIMS3-BR^FG_COMPANY_NAME&lt;/Q&gt;&lt;R&gt;1&lt;/R&gt;&lt;C&gt;1&lt;/C&gt;&lt;D xsi:type="xsd:string"&gt;TIM S.A.&lt;/D&gt;&lt;/FQL&gt;&lt;FQL&gt;&lt;Q&gt;AMX-US^FE_ESTIMATE(SALES,MEAN,ANN_ROLL,2,0,,,'CURRENCY=USD')&lt;/Q&gt;&lt;R&gt;1&lt;/R&gt;&lt;C&gt;1&lt;/C&gt;&lt;D xsi:type="xsd:double"&gt;51635.09&lt;/D&gt;&lt;/FQL&gt;&lt;FQL&gt;&lt;Q&gt;EXCL-JKT^FE_ESTIMATE(EBITDA,MEAN,ANN_ROLL,0,0,,,'CURRENCY=USD')&lt;/Q&gt;&lt;R&gt;1&lt;/R&gt;&lt;C&gt;1&lt;/C&gt;&lt;D xsi:type="xsd:double"&gt;1097.8724&lt;/D&gt;&lt;/FQL&gt;&lt;FQL&gt;&lt;Q&gt;TIGO-US^FG_COMPANY_NAME&lt;/Q&gt;&lt;R&gt;1&lt;/R&gt;&lt;C&gt;1&lt;/C&gt;&lt;D xsi:type="xsd:string"&gt;Millicom International Cellular SA&lt;/D&gt;&lt;/FQL&gt;&lt;FQL&gt;&lt;Q&gt;AMX-US^FE_ESTIMATE(SALES,MEAN,ANN_ROLL,1,0,,,'CURRENCY=USD')&lt;/Q&gt;&lt;R&gt;1&lt;/R&gt;&lt;C&gt;1&lt;/C&gt;&lt;D xsi:type="xsd:double"&gt;49617.098&lt;/D&gt;&lt;/FQL&gt;&lt;FQL&gt;&lt;Q&gt;EXCL-JKT^FE_ESTIMATE(SALES,MEAN,ANN_ROLL,2,0,,,'CURRENCY=USD')&lt;/Q&gt;&lt;R&gt;1&lt;/R&gt;&lt;C&gt;1&lt;/C&gt;&lt;D xsi:type="xsd:double"&gt;2968.1055&lt;/D&gt;&lt;/FQL&gt;&lt;FQL&gt;&lt;Q&gt;VOD-ZA^FG_COMPANY_NAME&lt;/Q&gt;&lt;R&gt;1&lt;/R&gt;&lt;C&gt;1&lt;/C&gt;&lt;D xsi:type="xsd:string"&gt;Vodacom Group Limited&lt;/D&gt;&lt;/FQL&gt;&lt;FQL&gt;&lt;Q&gt;AMX-US^FG_MKT_VALUE(0,,,USD)&lt;/Q&gt;&lt;R&gt;1&lt;/R&gt;&lt;C&gt;1&lt;/C&gt;&lt;D xsi:type="xsd:double"&gt;58365.645&lt;/D&gt;&lt;/FQL&gt;&lt;FQL&gt;&lt;Q&gt;EXCL-JKT^FG_MKT_VALUE(0,,,USD)&lt;/Q&gt;&lt;R&gt;1&lt;/R&gt;&lt;C&gt;1&lt;/C&gt;&lt;D xsi:type="xsd:double"&gt;3010.8918&lt;/D&gt;&lt;/FQL&gt;&lt;FQL&gt;&lt;Q&gt;MTN-ZA^FG_COMPANY_NAME&lt;/Q&gt;&lt;R&gt;1&lt;/R&gt;&lt;C&gt;1&lt;/C&gt;&lt;D xsi:type="xsd:string"&gt;MTN Group Limited&lt;/D&gt;&lt;/FQL&gt;&lt;FQL&gt;&lt;Q&gt;VEON-US^FE_ESTIMATE(EBITDA,MEAN,ANN_ROLL,1,0,,,'CURRENCY=USD')&lt;/Q&gt;&lt;R&gt;1&lt;/R&gt;&lt;C&gt;1&lt;/C&gt;&lt;D xsi:type="xsd:double"&gt;1811.2&lt;/D&gt;&lt;/FQL&gt;&lt;FQL&gt;&lt;Q&gt;BHARTIARTL-NSE^FE_ESTIMATE(EBITDA,MEAN,ANN_ROLL,2,0,,,'CURRENCY=USD')&lt;/Q&gt;&lt;R&gt;1&lt;/R&gt;&lt;C&gt;1&lt;/C&gt;&lt;D xsi:type="xsd:double"&gt;15363.379&lt;/D&gt;&lt;/FQL&gt;&lt;FQL&gt;&lt;Q&gt;UBER-US^FE_ESTIMATE(EBITDA,MEAN,ANN_ROLL,2,0,,,'CURRENCY=USD')&lt;/Q&gt;&lt;R&gt;1&lt;/R&gt;&lt;C&gt;1&lt;/C&gt;&lt;D xsi:type="xsd:double"&gt;11065.509&lt;/D&gt;&lt;/FQL&gt;&lt;FQL&gt;&lt;Q&gt;MTN-ZA^FE_ESTIMATE(EBITDA,MEAN,ANN_ROLL,1,0,,,'CURRENCY=USD')&lt;/Q&gt;&lt;R&gt;1&lt;/R&gt;&lt;C&gt;1&lt;/C&gt;&lt;D xsi:type="xsd:double"&gt;5044.224&lt;/D&gt;&lt;/FQL&gt;&lt;FQL&gt;&lt;Q&gt;MTN-ZA^FF_NET_DEBT(ANN_R,0,,,,USD,M)&lt;/Q&gt;&lt;R&gt;1&lt;/R&gt;&lt;C&gt;1&lt;/C&gt;&lt;D xsi:type="xsd:double"&gt;6065.28866413236&lt;/D&gt;&lt;/FQL&gt;&lt;FQL&gt;&lt;Q&gt;TIMS3-BR^FG_MKT_VALUE(0,,,USD)&lt;/Q&gt;&lt;R&gt;1&lt;/R&gt;&lt;C&gt;1&lt;/C&gt;&lt;D xsi:type="xsd:double"&gt;10037.142&lt;/D&gt;&lt;/FQL&gt;&lt;FQL&gt;&lt;Q&gt;SCOM-KE^FE_ESTIMATE(EBITDA,MEAN,ANN_ROLL,0,0,,,'CURRENCY=USD')&lt;/Q&gt;&lt;R&gt;1&lt;/R&gt;&lt;C&gt;1&lt;/C&gt;&lt;D xsi:type="xsd:double"&gt;1331.9224&lt;/D&gt;&lt;/FQL&gt;&lt;FQL&gt;&lt;Q&gt;VEON-US^FG_ENT_VALUE(0,,,USD)&lt;/Q&gt;&lt;R&gt;1&lt;/R&gt;&lt;C&gt;1&lt;/C&gt;&lt;D xsi:type="xsd:double"&gt;6710.26&lt;/D&gt;&lt;/FQL&gt;&lt;FQL&gt;&lt;Q&gt;728-HKG^FE_ESTIMATE(SALES,MEAN,ANN_ROLL,2,0,,,'CURRENCY=USD')&lt;/Q&gt;&lt;R&gt;1&lt;/R&gt;&lt;C&gt;1&lt;/C&gt;&lt;D xsi:type="xsd:double"&gt;77775.234&lt;/D&gt;&lt;/FQL&gt;&lt;FQL&gt;&lt;Q&gt;TRUE-BKK^FG_ENT_VALUE(0,,,USD)&lt;/Q&gt;&lt;R&gt;1&lt;/R&gt;&lt;C&gt;1&lt;/C&gt;&lt;D xsi:type="xsd:double"&gt;23931.531&lt;/D&gt;&lt;/FQL&gt;&lt;FQL&gt;&lt;Q&gt;TRUE-BKK^FG_COMPANY_NAME&lt;/Q&gt;&lt;R&gt;1&lt;/R&gt;&lt;C&gt;1&lt;/C&gt;&lt;D xsi:type="xsd:string"&gt;True Corporation Public Company Limited&lt;/D&gt;&lt;/FQL&gt;&lt;FQL&gt;&lt;Q&gt;6947-KLS^FE_ESTIMATE(EBITDA,MEAN,ANN_ROLL,1,0,,,'CURRENCY=USD')&lt;/Q&gt;&lt;R&gt;1&lt;/R&gt;&lt;C&gt;1&lt;/C&gt;&lt;D xsi:type="xsd:double"&gt;1402.4673&lt;/D&gt;&lt;/FQL&gt;&lt;FQL&gt;&lt;Q&gt;6947-KLS^FE_ESTIMATE(SALES,MEAN,ANN_ROLL,2,0,,,'CURRENCY=USD')&lt;/Q&gt;&lt;R&gt;1&lt;/R&gt;&lt;C&gt;1&lt;/C&gt;&lt;D xsi:type="xsd:double"&gt;3092.7444&lt;/D&gt;&lt;/FQL&gt;&lt;FQL&gt;&lt;Q&gt;VIVT3-BR^FE_ESTIMATE(EBITDA,MEAN,ANN_ROLL,2,0,,,'CURRENCY=USD')&lt;/Q&gt;&lt;R&gt;1&lt;/R&gt;&lt;C&gt;1&lt;/C&gt;&lt;D xsi:type="xsd:double"&gt;4875.0874&lt;/D&gt;&lt;/FQL&gt;&lt;FQL&gt;&lt;Q&gt;TRUE-BKK^FG_MKT_VALUE(0,,,USD)&lt;/Q&gt;&lt;R&gt;1&lt;/R&gt;&lt;C&gt;1&lt;/C&gt;&lt;D xsi:type="xsd:double"&gt;11542.304&lt;/D&gt;&lt;/FQL&gt;&lt;FQL&gt;&lt;Q&gt;762-HKG^FF_NET_DEBT(ANN_R,0,,,,USD,M)&lt;/Q&gt;&lt;R&gt;1&lt;/R&gt;&lt;C&gt;1&lt;/C&gt;&lt;D xsi:type="xsd:double"&gt;-3985.47807125419&lt;/D&gt;&lt;/FQL&gt;&lt;FQL&gt;&lt;Q&gt;6012-KLS^FE_ESTIMATE(EBITDA,MEAN,ANN_ROLL,1,0,,,'CURRENCY=USD')&lt;/Q&gt;&lt;R&gt;1&lt;/R&gt;&lt;C&gt;1&lt;/C&gt;&lt;D xsi:type="xsd:double"&gt;988.99976&lt;/D&gt;&lt;/FQL&gt;&lt;FQL&gt;&lt;Q&gt;GOTO-ID^FG_ENT_VALUE(0,,,USD)&lt;/Q&gt;&lt;R&gt;1&lt;/R&gt;&lt;C&gt;1&lt;/C&gt;&lt;D xsi:type="xsd:double"&gt;2832.9844&lt;/D&gt;&lt;/FQL&gt;&lt;FQL&gt;&lt;Q&gt;ISAT-JKT^FE_ESTIMATE(SALES,MEAN,ANN_ROLL,0,0,,,'CURRENCY=USD')&lt;/Q&gt;&lt;R&gt;1&lt;/R&gt;&lt;C&gt;1&lt;/C&gt;&lt;D xsi:type="xsd:double"&gt;3419.203&lt;/D&gt;&lt;/FQL&gt;&lt;FQL&gt;&lt;Q&gt;VEON-US^FG_MKT_VALUE(0,,,USD)&lt;/Q&gt;&lt;R&gt;1&lt;/R&gt;&lt;C&gt;1&lt;/C&gt;&lt;D xsi:type="xsd:double"&gt;3957.1218&lt;/D&gt;&lt;/FQL&gt;&lt;FQL&gt;&lt;Q&gt;EXCL-JKT^FG_COMPANY_NAME&lt;/Q&gt;&lt;R&gt;1&lt;/R&gt;&lt;C&gt;1&lt;/C&gt;&lt;D xsi:type="xsd:string"&gt;PT XLSMART Telecom Sejahtera Tbk&lt;/D&gt;&lt;/FQL&gt;&lt;FQL&gt;&lt;Q&gt;ISAT-JKT^FF_NET_DEBT(ANN_R,0,,,,USD,M)&lt;/Q&gt;&lt;R&gt;1&lt;/R&gt;&lt;C&gt;1&lt;/C&gt;&lt;D xsi:type="xsd:double"&gt;3131.05539669259&lt;/D&gt;&lt;/FQL&gt;&lt;FQL&gt;&lt;Q&gt;VOD-ZA^FE_ESTIMATE(SALES,MEAN,ANN_ROLL,1,0,,,'CURRENCY=USD')&lt;/Q&gt;&lt;R&gt;1&lt;/R&gt;&lt;C&gt;1&lt;/C&gt;&lt;D xsi:type="xsd:double"&gt;9431.248&lt;/D&gt;&lt;/FQL&gt;&lt;FQL&gt;&lt;Q&gt;TLKM-JKT^FE_ESTIMATE(SALES,MEAN,ANN_ROLL,0,0,,,'CURRENCY=USD')&lt;/Q&gt;&lt;R&gt;1&lt;/R&gt;&lt;C&gt;1&lt;/C&gt;&lt;D xsi:type="xsd:double"&gt;8915.473&lt;/D&gt;&lt;/FQL&gt;&lt;FQL&gt;&lt;Q&gt;6012-KLS^FE_ESTIMATE(SALES,MEAN,ANN_ROLL,1,0,,,'CURRENCY=USD')&lt;/Q&gt;&lt;R&gt;1&lt;/R&gt;&lt;C&gt;1&lt;/C&gt;&lt;D xsi:type="xsd:double"&gt;2530.6296&lt;/D&gt;&lt;/FQL&gt;&lt;FQL&gt;&lt;Q&gt;TIGO-US^FE_ESTIMATE(SALES,MEAN,ANN_ROLL,0,0,,,'CURRENCY=USD')&lt;/Q&gt;&lt;R&gt;1&lt;/R&gt;&lt;C&gt;1&lt;/C&gt;&lt;D xsi:type="xsd:double"&gt;5804&lt;/D&gt;&lt;/FQL&gt;&lt;FQL&gt;&lt;Q&gt;GRAB-US^FG_MKT_VALUE(0,,,USD)&lt;/Q&gt;&lt;R&gt;1&lt;/R&gt;&lt;C&gt;1&lt;/C&gt;&lt;D xsi:type="xsd:double"&gt;19646.32&lt;/D&gt;&lt;/FQL&gt;&lt;FQL&gt;&lt;Q&gt;941-HKG^FG_COMPANY_NAME&lt;/Q&gt;&lt;R&gt;1&lt;/R&gt;&lt;C&gt;1&lt;/C&gt;&lt;D xsi:type="xsd:string"&gt;China Mobile Limited&lt;/D&gt;&lt;/FQL&gt;&lt;FQL&gt;&lt;Q&gt;6947-KLS^FE_ESTIMATE(EBITDA,MEAN,ANN_ROLL,2,0,,,'CURRENCY=USD')&lt;/Q&gt;&lt;R&gt;1&lt;/R&gt;&lt;C&gt;1&lt;/C&gt;&lt;D xsi:type="xsd:double"&gt;1438.0269&lt;/D&gt;&lt;/FQL&gt;&lt;FQL&gt;&lt;Q&gt;ADVANC-BKK^FE_ESTIMATE(SALES,MEAN,ANN_ROLL,2,0,,,'CURRENCY=USD')&lt;/Q&gt;&lt;R&gt;1&lt;/R&gt;&lt;C&gt;1&lt;/C&gt;&lt;D xsi:type="xsd:double"&gt;7080.0137&lt;/D&gt;&lt;/FQL&gt;&lt;FQL&gt;&lt;Q&gt;AAF-GB^FG_ENT_VALUE(0,,,USD)&lt;/Q&gt;&lt;R&gt;1&lt;/R&gt;&lt;C&gt;1&lt;/C&gt;&lt;D xsi:type="xsd:double"&gt;15051.141&lt;/D&gt;&lt;/FQL&gt;&lt;FQL&gt;&lt;Q&gt;UBER-US^FE_ESTIMATE(SALES,MEAN,ANN_ROLL,1,0,,,'CURRENCY=USD')&lt;/Q&gt;&lt;R&gt;1&lt;/R&gt;&lt;C&gt;1&lt;/C&gt;&lt;D xsi:type="xsd:double"&gt;51329.92&lt;/D&gt;&lt;/FQL&gt;&lt;FQL&gt;&lt;Q&gt;EXCL-JKT^FF_NET_DEBT(ANN_R,0,,,,USD,M)&lt;/Q&gt;&lt;R&gt;1&lt;/R&gt;&lt;C&gt;1&lt;/C&gt;&lt;D xsi:type="xsd:double"&gt;2777.33529300286&lt;/D&gt;&lt;/FQL&gt;&lt;FQL&gt;&lt;Q&gt;762-HKG^FE_ESTIMATE(EBITDA,MEAN,ANN_ROLL,0,0,,,'CURRENCY=USD')&lt;/Q&gt;&lt;R&gt;1&lt;/R&gt;&lt;C&gt;1&lt;/C&gt;&lt;D xsi:type="xsd:double"&gt;13952.901&lt;/D&gt;&lt;/FQL&gt;&lt;FQL&gt;&lt;Q&gt;ADVANC-BKK^FE_ESTIMATE(SALES,MEAN,ANN_ROLL,1,0,,,'CURRENCY=USD')&lt;/Q&gt;&lt;R&gt;1&lt;/R&gt;&lt;C&gt;1&lt;/C&gt;&lt;D xsi:type="xsd:double"&gt;6893.7847&lt;/D&gt;&lt;/FQL&gt;&lt;FQL&gt;&lt;Q&gt;AAF-GB^FF_NET_DEBT(ANN_R,0,,,,USD,M)&lt;/Q&gt;&lt;R&gt;1&lt;/R&gt;&lt;C&gt;1&lt;/C&gt;&lt;D xsi:type="xsd:double"&gt;4397.00009102093&lt;/D&gt;&lt;/FQL&gt;&lt;FQL&gt;&lt;Q&gt;6012-KLS^FE_ESTIMATE(SALES,MEAN,ANN_ROLL,0,0,,,'CURRENCY=USD')&lt;/Q&gt;&lt;R&gt;1&lt;/R&gt;&lt;C&gt;1&lt;/C&gt;&lt;D xsi:type="xsd:double"&gt;2372.7363&lt;/D&gt;&lt;/FQL&gt;&lt;FQL&gt;&lt;Q&gt;SCOM-KE^FG_COMPANY_NAME&lt;/Q&gt;&lt;R&gt;1&lt;/R&gt;&lt;C&gt;1&lt;/C&gt;&lt;D xsi:type="xsd:string"&gt;Safaricom PLC&lt;/D&gt;&lt;/FQL&gt;&lt;FQL&gt;&lt;Q&gt;941-HKG^FE_ESTIMATE(EBITDA,MEAN,ANN_ROLL,2,0,,,'CURRENCY=USD')&lt;/Q&gt;&lt;R&gt;1&lt;/R&gt;&lt;C&gt;1&lt;/C&gt;&lt;D xsi:type="xsd:double"&gt;49350.88&lt;/D&gt;&lt;/FQL&gt;&lt;FQL&gt;&lt;Q&gt;UBER-US^FF_NET_DEBT(ANN_R,0,,,,USD,M)&lt;/Q&gt;&lt;R&gt;1&lt;/R&gt;&lt;C&gt;1&lt;/C&gt;&lt;D xsi:type="xsd:double"&gt;3914&lt;/D&gt;&lt;/FQL&gt;&lt;FQL&gt;&lt;Q&gt;6888-KLS^FE_ESTIMATE(SALES,MEAN,ANN_ROLL,2,0,,,'CURRENCY=USD')&lt;/Q&gt;&lt;R&gt;1&lt;/R&gt;&lt;C&gt;1&lt;/C&gt;&lt;D xsi:type="xsd:double"&gt;3181.557&lt;/D&gt;&lt;/FQL&gt;&lt;FQL&gt;&lt;Q&gt;728-HKG^FG_ENT_VALUE(0,,,USD)&lt;/Q&gt;&lt;R&gt;1&lt;/R&gt;&lt;C&gt;1&lt;/C&gt;&lt;D xsi:type="xsd:double"&gt;70341.984&lt;/D&gt;&lt;/FQL&gt;&lt;FQL&gt;&lt;Q&gt;VIVT3-BR^FG_ENT_VALUE(0,,,USD)&lt;/Q&gt;&lt;R&gt;1&lt;/R&gt;&lt;C&gt;1&lt;/C&gt;&lt;D xsi:type="xsd:double"&gt;21446.145&lt;/D&gt;&lt;/FQL&gt;&lt;FQL&gt;&lt;Q&gt;VOD-ZA^FE_ESTIMATE(EBITDA,MEAN,ANN_ROLL,1,0,,,'CURRENCY=USD')&lt;/Q&gt;&lt;R&gt;1&lt;/R&gt;&lt;C&gt;1&lt;/C&gt;&lt;D xsi:type="xsd:double"&gt;3536.06&lt;/D&gt;&lt;/FQL&gt;&lt;FQL&gt;&lt;Q&gt;762-HKG^FG_ENT_VALUE(0,,,USD)&lt;/Q&gt;&lt;R&gt;1&lt;/R&gt;&lt;C&gt;1&lt;/C&gt;&lt;D xsi:type="xsd:double"&gt;35767.938&lt;/D&gt;&lt;/FQL&gt;&lt;FQL&gt;&lt;Q&gt;TIMS3-BR^FG_ENT_VALUE(0,,,USD)&lt;/Q&gt;&lt;R&gt;1&lt;/R&gt;&lt;C&gt;1&lt;/C&gt;&lt;D xsi:type="xsd:double"&gt;12006.719&lt;/D&gt;&lt;/FQL&gt;&lt;FQL&gt;&lt;Q&gt;VEON-US^FG_COMPANY_NAME&lt;/Q&gt;&lt;R&gt;1&lt;/R&gt;&lt;C&gt;1&lt;/C&gt;&lt;D xsi:type="xsd:string"&gt;VEON Ltd. Sponsored ADR&lt;/D&gt;&lt;/FQL&gt;&lt;FQL&gt;&lt;Q&gt;VEON-US^FE_ESTIMATE(SALES,MEAN,ANN_ROLL,1,0,,,'CURRENCY=USD')&lt;/Q&gt;&lt;R&gt;1&lt;/R&gt;&lt;C&gt;1&lt;/C&gt;&lt;D xsi:type="xsd:double"&gt;4254.4&lt;/D&gt;&lt;/FQL&gt;&lt;FQL&gt;&lt;Q&gt;ISAT-JKT^FE_ESTIMATE(SALES,MEAN,ANN_ROLL,2,0,,,'CURRENCY=USD')&lt;/Q&gt;&lt;R&gt;1&lt;/R&gt;&lt;C&gt;1&lt;/C&gt;&lt;D xsi:type="xsd:double"&gt;3690.1213&lt;/D&gt;&lt;/FQL&gt;&lt;FQL&gt;&lt;Q&gt;GOTO-ID^FE_ESTIMATE(EBITDA,MEAN,ANN_ROLL,0,0,,,'CURRENCY=USD')&lt;/Q&gt;&lt;R&gt;1&lt;/R&gt;&lt;C&gt;1&lt;/C&gt;&lt;D xsi:type="xsd:double"&gt;19.884464&lt;/D&gt;&lt;/FQL&gt;&lt;FQL&gt;&lt;Q&gt;VEON-US^FF_NET_DEBT(ANN_R,0,,,,USD,M)&lt;/Q&gt;&lt;R&gt;1&lt;/R&gt;&lt;C&gt;1&lt;/C&gt;&lt;D xsi:type="xsd:double"&gt;2648&lt;/D&gt;&lt;/FQL&gt;&lt;FQL&gt;&lt;Q&gt;6012-KLS^FG_COMPANY_NAME&lt;/Q&gt;&lt;R&gt;1&lt;/R&gt;&lt;C&gt;1&lt;/C&gt;&lt;D xsi:type="xsd:string"&gt;Maxis Bhd.&lt;/D&gt;&lt;/FQL&gt;&lt;FQL&gt;&lt;Q&gt;ISAT-JKT^FG_ENT_VALUE(0,,,USD)&lt;/Q&gt;&lt;R&gt;1&lt;/R&gt;&lt;C&gt;1&lt;/C&gt;&lt;D xsi:type="xsd:double"&gt;7886.1416&lt;/D&gt;&lt;/FQL&gt;&lt;FQL&gt;&lt;Q&gt;VOD-ZA^FE_ESTIMATE(EBITDA,MEAN,ANN_ROLL,2,0,,,'CURRENCY=USD')&lt;/Q&gt;&lt;R&gt;1&lt;/R&gt;&lt;C&gt;1&lt;/C&gt;&lt;D xsi:type="xsd:double"&gt;3943.25&lt;/D&gt;&lt;/FQL&gt;&lt;FQL&gt;&lt;Q&gt;ISAT-JKT^FG_COMPANY_NAME&lt;/Q&gt;&lt;R&gt;1&lt;/R&gt;&lt;C&gt;1&lt;/C&gt;&lt;D xsi:type="xsd:string"&gt;PT Indosat Tbk Class B&lt;/D&gt;&lt;/FQL&gt;&lt;FQL&gt;&lt;Q&gt;TLKM-JKT^FE_ESTIMATE(SALES,MEAN,ANN_ROLL,2,0,,,'CURRENCY=USD')&lt;/Q&gt;&lt;R&gt;1&lt;/R&gt;&lt;C&gt;1&lt;/C&gt;&lt;D xsi:type="xsd:double"&gt;9483.281&lt;/D&gt;&lt;/FQL&gt;&lt;FQL&gt;&lt;Q&gt;762-HKG^FG_COMPANY_NAME&lt;/Q&gt;&lt;R&gt;1&lt;/R&gt;&lt;C&gt;1&lt;/C&gt;&lt;D xsi:type="xsd:string"&gt;China Unicom (Hong Kong) Limited&lt;/D&gt;&lt;/FQL&gt;&lt;FQL&gt;&lt;Q&gt;VOD-ZA^FG_ENT_VALUE(0,,,USD)&lt;/Q&gt;&lt;R&gt;1&lt;/R&gt;&lt;C&gt;1&lt;/C&gt;&lt;D xsi:type="xsd:double"&gt;18180.33&lt;/D&gt;&lt;/FQL&gt;&lt;FQL&gt;&lt;Q&gt;762-HKG^FE_ESTIMATE(SALES,MEAN,ANN_ROLL,1,0,,,'CURRENCY=USD')&lt;/Q&gt;&lt;R&gt;1&lt;/R&gt;&lt;C&gt;1&lt;/C&gt;&lt;D xsi:type="xsd:double"&gt;55948.516&lt;/D&gt;&lt;/FQL&gt;&lt;FQL&gt;&lt;Q&gt;VIVT3-BR^FE_ESTIMATE(SALES,MEAN,ANN_ROLL,0,0,,,'CURRENCY=USD')&lt;/Q&gt;&lt;R&gt;1&lt;/R&gt;&lt;C&gt;1&lt;/C&gt;&lt;D xsi:type="xsd:double"&gt;9661.515&lt;/D&gt;&lt;/FQL&gt;&lt;FQL&gt;&lt;Q&gt;LYFT-US^FG_MKT_VALUE(0,,,USD)&lt;/Q&gt;&lt;R&gt;1&lt;/R&gt;&lt;C&gt;1&lt;/C&gt;&lt;D xsi:type="xsd:double"&gt;5470.709&lt;/D&gt;&lt;/FQL&gt;&lt;FQL&gt;&lt;Q&gt;VIVT3-BR^FE_ESTIMATE(SALES,MEAN,ANN_ROLL,2,0,,,'CURRENCY=USD')&lt;/Q&gt;&lt;R&gt;1&lt;/R&gt;&lt;C&gt;1&lt;/C&gt;&lt;D xsi:type="xsd:double"&gt;11399.288&lt;/D&gt;&lt;/FQL&gt;&lt;FQL&gt;&lt;Q&gt;ADVANC-BKK^FE_ESTIMATE(EBITDA,MEAN,ANN_ROLL,1,0,,,'CURRENCY=USD')&lt;/Q&gt;&lt;R&gt;1&lt;/R&gt;&lt;C&gt;1&lt;/C&gt;&lt;D xsi:type="xsd:double"&gt;3655.918&lt;/D&gt;&lt;/FQL&gt;&lt;FQL&gt;&lt;Q&gt;VIVT3-BR^FE_ESTIMATE(SALES,MEAN,ANN_ROLL,1,0,,,'CURRENCY=USD')&lt;/Q&gt;&lt;R&gt;1&lt;/R&gt;&lt;C&gt;1&lt;/C&gt;&lt;D xsi:type="xsd:double"&gt;10838.565&lt;/D&gt;&lt;/FQL&gt;&lt;FQL&gt;&lt;Q&gt;EXCL-JKT^FE_ESTIMATE(SALES,MEAN,ANN_ROLL,1,0,,,'CURRENCY=USD')&lt;/Q&gt;&lt;R&gt;1&lt;/R&gt;&lt;C&gt;1&lt;/C&gt;&lt;D xsi:type="xsd:double"&gt;2778.6855&lt;/D&gt;&lt;/FQL&gt;&lt;FQL&gt;&lt;Q&gt;GRAB-US^FF_NET_DEBT(ANN_R,0,,,,USD,M)&lt;/Q&gt;&lt;R&gt;1&lt;/R&gt;&lt;C&gt;1&lt;/C&gt;&lt;D xsi:type="xsd:double"&gt;-5265&lt;/D&gt;&lt;/FQL&gt;&lt;FQL&gt;&lt;Q&gt;GOTO-ID^FE_ESTIMATE(EBITDA,MEAN,ANN_ROLL,2,0,,,'CURRENCY=USD')&lt;/Q&gt;&lt;R&gt;1&lt;/R&gt;&lt;C&gt;1&lt;/C&gt;&lt;D xsi:type="xsd:double"&gt;164.30667&lt;/D&gt;&lt;/FQL&gt;&lt;FQL&gt;&lt;Q&gt;TIMS3-BR^FE_ESTIMATE(SALES,MEAN,ANN_ROLL,1,0,,,'CURRENCY=USD')&lt;/Q&gt;&lt;R&gt;1&lt;/R&gt;&lt;C&gt;1&lt;/C&gt;&lt;D xsi:type="xsd:double"&gt;4871.101&lt;/D&gt;&lt;/FQL&gt;&lt;FQL&gt;&lt;Q&gt;SCOM-KE^FG_ENT_VALUE(0,,,USD)&lt;/Q&gt;&lt;R&gt;1&lt;/R&gt;&lt;C&gt;1&lt;/C&gt;&lt;D xsi:type="xsd:double"&gt;8568.941&lt;/D&gt;&lt;/FQL&gt;&lt;FQL&gt;&lt;Q&gt;6947-KLS^FG_MKT_VALUE(0,,,USD)&lt;/Q&gt;&lt;R&gt;1&lt;/R&gt;&lt;C&gt;1&lt;/C&gt;&lt;D xsi:type="xsd:double"&gt;10502.512&lt;/D&gt;&lt;/FQL&gt;&lt;FQL&gt;&lt;Q&gt;941-HKG^FE_ESTIMATE(EBITDA,MEAN,ANN_ROLL,0,0,,,'CURRENCY=USD')&lt;/Q&gt;&lt;R&gt;1&lt;/R&gt;&lt;C&gt;1&lt;/C&gt;&lt;D xsi:type="xsd:double"&gt;46475.76&lt;/D&gt;&lt;/FQL&gt;&lt;FQL&gt;&lt;Q&gt;LILAK-US^FE_ESTIMATE(EBITDA,MEAN,ANN_ROLL,0,0,,,'CURRENCY=USD')&lt;/Q&gt;&lt;R&gt;1&lt;/R&gt;&lt;C&gt;1&lt;/C&gt;&lt;D xsi:type="xsd:double"&gt;1443.4&lt;/D&gt;&lt;/FQL&gt;&lt;FQL&gt;&lt;Q&gt;6012-KLS^FG_MKT_VALUE(0,,,USD)&lt;/Q&gt;&lt;R&gt;1&lt;/R&gt;&lt;C&gt;1&lt;/C&gt;&lt;D xsi:type="xsd:double"&gt;6385.0303&lt;/D&gt;&lt;/FQL&gt;&lt;FQL&gt;&lt;Q&gt;6888-KLS^FG_COMPANY_NAME&lt;/Q&gt;&lt;R&gt;1&lt;/R&gt;&lt;C&gt;1&lt;/C&gt;&lt;D xsi:type="xsd:string"&gt;Axiata Group Bhd.&lt;/D&gt;&lt;/FQL&gt;&lt;FQL&gt;&lt;Q&gt;VIVT3-BR^FF_NET_DEBT(ANN_R,0,,,,USD,M)&lt;/Q&gt;&lt;R&gt;1&lt;/R&gt;&lt;C&gt;1&lt;/C&gt;&lt;D xsi:type="xsd:double"&gt;2250.692310237&lt;/D&gt;&lt;/FQL&gt;&lt;FQL&gt;&lt;Q&gt;VOD-ZA^FE_ESTIMATE(EBITDA,MEAN,ANN_ROLL,0,0,,,'CURRENCY=USD')&lt;/Q&gt;&lt;R&gt;1&lt;/R&gt;&lt;C&gt;1&lt;/C&gt;&lt;D xsi:type="xsd:double"&gt;3069.609&lt;/D&gt;&lt;/FQL&gt;&lt;FQL&gt;&lt;Q&gt;ADVANC-BKK^FG_ENT_VALUE(0,,,USD)&lt;/Q&gt;&lt;R&gt;1&lt;/R&gt;&lt;C&gt;1&lt;/C&gt;&lt;D xsi:type="xsd:double"&gt;34195.57&lt;/D&gt;&lt;/FQL&gt;&lt;FQL&gt;&lt;Q&gt;728-HKG^FE_ESTIMATE(SALES,MEAN,ANN_ROLL,0,0,,,'CURRENCY=USD')&lt;/Q&gt;&lt;R&gt;1&lt;/R&gt;&lt;C&gt;1&lt;/C&gt;&lt;D xsi:type="xsd:double"&gt;72887.31&lt;/D&gt;&lt;/FQL&gt;&lt;FQL&gt;&lt;Q&gt;UBER-US^FE_ESTIMATE(SALES,MEAN,ANN_ROLL,2,0,,,'CURRENCY=USD')&lt;/Q&gt;&lt;R&gt;1&lt;/R&gt;&lt;C&gt;1&lt;/C&gt;&lt;D xsi:type="xsd:double"&gt;59100.203&lt;/D&gt;&lt;/FQL&gt;&lt;FQL&gt;&lt;Q&gt;IDEA-NSE^FE_ESTIMATE(EBITDA,MEAN,ANN_ROLL,2,0,,,'CURRENCY=USD')&lt;/Q&gt;&lt;R&gt;1&lt;/R&gt;&lt;C&gt;1&lt;/C&gt;&lt;D xsi:type="xsd:double"&gt;2853.2498&lt;/D&gt;&lt;/FQL&gt;&lt;FQL&gt;&lt;Q&gt;GOTO-ID^FE_ESTIMATE(SALES,MEAN,ANN_ROLL,2,0,,,'CURRENCY=USD')&lt;/Q&gt;&lt;R&gt;1&lt;/R&gt;&lt;C&gt;1&lt;/C&gt;&lt;D xsi:type="xsd:double"&gt;1322.2991&lt;/D&gt;&lt;/FQL&gt;&lt;FQL&gt;&lt;Q&gt;TLKM-JKT^FG_ENT_VALUE(0,,,USD)&lt;/Q&gt;&lt;R&gt;1&lt;/R&gt;&lt;C&gt;1&lt;/C&gt;&lt;D xsi:type="xsd:double"&gt;22293.105&lt;/D&gt;&lt;/FQL&gt;&lt;FQL&gt;&lt;Q&gt;GOTO-ID^FE_ESTIMATE(SALES,MEAN,ANN_ROLL,1,0,,,'CURRENCY=USD')&lt;/Q&gt;&lt;R&gt;1&lt;/R&gt;&lt;C&gt;1&lt;/C&gt;&lt;D xsi:type="xsd:double"&gt;1125.7223&lt;/D&gt;&lt;/FQL&gt;&lt;FQL&gt;&lt;Q&gt;SCOM-KE^FE_ESTIMATE(SALES,MEAN,ANN_ROLL,1,0,,,'CURRENCY=USD')&lt;/Q&gt;&lt;R&gt;1&lt;/R&gt;&lt;C&gt;1&lt;/C&gt;&lt;D xsi:type="xsd:double"&gt;3386.7083&lt;/D&gt;&lt;/FQL&gt;&lt;FQL&gt;&lt;Q&gt;IDEA-NSE^FE_ESTIMATE(EBITDA,MEAN,ANN_ROLL,1,0,,,'CURRENCY=USD')&lt;/Q&gt;&lt;R&gt;1&lt;/R&gt;&lt;C&gt;1&lt;/C&gt;&lt;D xsi:type="xsd:double"&gt;2340.2603&lt;/D&gt;&lt;/FQL&gt;&lt;FQL&gt;&lt;Q&gt;GOTO-ID^FE_ESTIMATE(SALES,MEAN,ANN_ROLL,0,0,,,'CURRENCY=USD')&lt;/Q&gt;&lt;R&gt;1&lt;/R&gt;&lt;C&gt;1&lt;/C&gt;&lt;D xsi:type="xsd:double"&gt;966.4944&lt;/D&gt;&lt;/FQL&gt;&lt;FQL&gt;&lt;Q&gt;IDEA-NSE^FE_ESTIMATE(EBITDA,MEAN,ANN_ROLL,0,0,,,'CURRENCY=USD')&lt;/Q&gt;&lt;R&gt;1&lt;/R&gt;&lt;C&gt;1&lt;/C&gt;&lt;D xsi:type="xsd:double"&gt;2125.7798&lt;/D&gt;&lt;/FQL&gt;&lt;FQL&gt;&lt;Q&gt;GRAB-US^FE_ESTIMATE(EBITDA,MEAN,ANN_ROLL,1,0,,,'CURRENCY=USD')&lt;/Q&gt;&lt;R&gt;1&lt;/R&gt;&lt;C&gt;1&lt;/C&gt;&lt;D xsi:type="xsd:double"&gt;476.41504&lt;/D&gt;&lt;/FQL&gt;&lt;FQL&gt;&lt;Q&gt;GRAB-US^FE_ESTIMATE(SALES,MEAN,ANN_ROLL,2,0,,,'CURRENCY=USD')&lt;/Q&gt;&lt;R&gt;1&lt;/R&gt;&lt;C&gt;1&lt;/C&gt;&lt;D xsi:type="xsd:double"&gt;4054.1067&lt;/D&gt;&lt;/FQL&gt;&lt;FQL&gt;&lt;Q&gt;728-HKG^FG_MKT_VALUE(0,,,USD)&lt;/Q&gt;&lt;R&gt;1&lt;/R&gt;&lt;C&gt;1&lt;/C&gt;&lt;D xsi:type="xsd:double"&gt;72273.62&lt;/D&gt;&lt;/FQL&gt;&lt;FQL&gt;&lt;Q&gt;TIGO-US^FE_ESTIMATE(EBITDA,MEAN,ANN_ROLL,1,0,,,'CURRENCY=USD')&lt;/Q&gt;&lt;R&gt;1&lt;/R&gt;&lt;C&gt;1&lt;/C&gt;&lt;D xsi:type="xsd:double"&gt;2557.673&lt;/D&gt;&lt;/FQL&gt;&lt;FQL&gt;&lt;Q&gt;LILAK-US^FE_ESTIMATE(SALES,MEAN,ANN_ROLL,1,0,,,'CURRENCY=USD')&lt;/Q&gt;&lt;R&gt;1&lt;/R&gt;&lt;C&gt;1&lt;/C&gt;&lt;D xsi:type="xsd:double"&gt;4469.0522&lt;/D&gt;&lt;/FQL&gt;&lt;FQL&gt;&lt;Q&gt;BHARTIARTL-NSE^FE_ESTIMATE(SALES,MEAN,ANN_ROLL,0,0,,,'CURRENCY=USD')&lt;/Q&gt;&lt;R&gt;1&lt;/R&gt;&lt;C&gt;1&lt;/C&gt;&lt;D xsi:type="xsd:double"&gt;20270.262&lt;/D&gt;&lt;/FQL&gt;&lt;FQL&gt;&lt;Q&gt;TLKM-JKT^FE_ESTIMATE(EBITDA,MEAN,ANN_ROLL,1,0,,,'CURRENCY=USD')&lt;/Q&gt;&lt;R&gt;1&lt;/R&gt;&lt;C&gt;1&lt;/C&gt;&lt;D xsi:type="xsd:double"&gt;4606.896&lt;/D&gt;&lt;/FQL&gt;&lt;FQL&gt;&lt;Q&gt;SCOM-KE^FE_ESTIMATE(SALES,MEAN,ANN_ROLL,2,0,,,'CURRENCY=USD')&lt;/Q&gt;&lt;R&gt;1&lt;/R&gt;&lt;C&gt;1&lt;/C&gt;&lt;D xsi:type="xsd:double"&gt;3781.5686&lt;/D&gt;&lt;/FQL&gt;&lt;FQL&gt;&lt;Q&gt;SCOM-KE^FE_ESTIMATE(SALES,MEAN,ANN_ROLL,0,0,,,'CURRENCY=USD')&lt;/Q&gt;&lt;R&gt;1&lt;/R&gt;&lt;C&gt;1&lt;/C&gt;&lt;D xsi:type="xsd:double"&gt;3008.3384&lt;/D&gt;&lt;/FQL&gt;&lt;FQL&gt;&lt;Q&gt;MTN-ZA^FE_ESTIMATE(EBITDA,MEAN,ANN_ROLL,2,0,,,'CURRENCY=USD')&lt;/Q&gt;&lt;R&gt;1&lt;/R&gt;&lt;C&gt;1&lt;/C&gt;&lt;D xsi:type="xsd:double"&gt;6090.2754&lt;/D&gt;&lt;/FQL&gt;&lt;FQL&gt;&lt;Q&gt;IDEA-NSE^FE_ESTIMATE(SALES,MEAN,ANN_ROLL,1,0,,,'CURRENCY=USD')&lt;/Q&gt;&lt;R&gt;1&lt;/R&gt;&lt;C&gt;1&lt;/C&gt;&lt;D xsi:type="xsd:double"&gt;5378.8613&lt;/D&gt;&lt;/FQL&gt;&lt;FQL&gt;&lt;Q&gt;MTN-ZA^FE_ESTIMATE(EBITDA,MEAN,ANN_ROLL,0,0,,,'CURRENCY=USD')&lt;/Q&gt;&lt;R&gt;1&lt;/R&gt;&lt;C&gt;1&lt;/C&gt;&lt;D xsi:type="xsd:double"&gt;3510.1157&lt;/D&gt;&lt;/FQL&gt;&lt;FQL&gt;&lt;Q&gt;MTN-ZA^FE_ESTIMATE(SALES,MEAN,ANN_ROLL,2,0,,,'CURRENCY=USD')&lt;/Q&gt;&lt;R&gt;1&lt;/R&gt;&lt;C&gt;1&lt;/C&gt;&lt;D xsi:type="xsd:double"&gt;13868.012&lt;/D&gt;&lt;/FQL&gt;&lt;FQL&gt;&lt;Q&gt;ISAT-JKT^FE_ESTIMATE(EBITDA,MEAN,ANN_ROLL,2,0,,,'CURRENCY=USD')&lt;/Q&gt;&lt;R&gt;1&lt;/R&gt;&lt;C&gt;1&lt;/C&gt;&lt;D xsi:type="xsd:double"&gt;1770.0521&lt;/D&gt;&lt;/FQL&gt;&lt;FQL&gt;&lt;Q&gt;TLKM-JKT^FE_ESTIMATE(EBITDA,MEAN,ANN_ROLL,2,0,,,'CURRENCY=USD')&lt;/Q&gt;&lt;R&gt;1&lt;/R&gt;&lt;C&gt;1&lt;/C&gt;&lt;D xsi:type="xsd:double"&gt;4766.248&lt;/D&gt;&lt;/FQL&gt;&lt;FQL&gt;&lt;Q&gt;VOD-ZA^FE_ESTIMATE(SALES,MEAN,ANN_ROLL,2,0,,,'CURRENCY=USD')&lt;/Q&gt;&lt;R&gt;1&lt;/R&gt;&lt;C&gt;1&lt;/C&gt;&lt;D xsi:type="xsd:double"&gt;10301.616&lt;/D&gt;&lt;/FQL&gt;&lt;FQL&gt;&lt;Q&gt;GOTO-ID^FF_NET_DEBT(ANN_R,0,,,,USD,M)&lt;/Q&gt;&lt;R&gt;1&lt;/R&gt;&lt;C&gt;1&lt;/C&gt;&lt;D xsi:type="xsd:double"&gt;-1062.99603647198&lt;/D&gt;&lt;/FQL&gt;&lt;FQL&gt;&lt;Q&gt;TIGO-US^FE_ESTIMATE(EBITDA,MEAN,ANN_ROLL,0,0,,,'CURRENCY=USD')&lt;/Q&gt;&lt;R&gt;1&lt;/R&gt;&lt;C&gt;1&lt;/C&gt;&lt;D xsi:type="xsd:double"&gt;2531.562&lt;/D&gt;&lt;/FQL&gt;&lt;FQL&gt;&lt;Q&gt;MTN-ZA^FE_ESTIMATE(SALES,MEAN,ANN_ROLL,1,0,,,'CURRENCY=USD')&lt;/Q&gt;&lt;R&gt;1&lt;/R&gt;&lt;C&gt;1&lt;/C&gt;&lt;D xsi:type="xsd:double"&gt;12142.349&lt;/D&gt;&lt;/FQL&gt;&lt;FQL&gt;&lt;Q&gt;6012-KLS^FG_ENT_VALUE(0,,,USD)&lt;/Q&gt;&lt;R&gt;1&lt;/R&gt;&lt;C&gt;1&lt;/C&gt;&lt;D xsi:type="xsd:double"&gt;8325.763&lt;/D&gt;&lt;/FQL&gt;&lt;FQL&gt;&lt;Q&gt;LILAK-US^FG_COMPANY_NAME&lt;/Q&gt;&lt;R&gt;1&lt;/R&gt;&lt;C&gt;1&lt;/C&gt;&lt;D xsi:type="xsd:string"&gt;Liberty Latin America Ltd. Class C&lt;/D&gt;&lt;/FQL&gt;&lt;FQL&gt;&lt;Q&gt;AMX-US^FE_ESTIMATE(EBITDA,MEAN,ANN_ROLL,2,0,,,'CURRENCY=USD')&lt;/Q&gt;&lt;R&gt;1&lt;/R&gt;&lt;C&gt;1&lt;/C&gt;&lt;D xsi:type="xsd:double"&gt;20457.598&lt;/D&gt;&lt;/FQL&gt;&lt;FQL&gt;&lt;Q&gt;ISAT-JKT^FE_ESTIMATE(SALES,MEAN,ANN_ROLL,1,0,,,'CURRENCY=USD')&lt;/Q&gt;&lt;R&gt;1&lt;/R&gt;&lt;C&gt;1&lt;/C&gt;&lt;D xsi:type="xsd:double"&gt;3514.0864&lt;/D&gt;&lt;/FQL&gt;&lt;FQL&gt;&lt;Q&gt;GOTO-ID^FE_ESTIMATE(EBITDA,MEAN,ANN_ROLL,1,0,,,'CURRENCY=USD')&lt;/Q&gt;&lt;R&gt;1&lt;/R&gt;&lt;C&gt;1&lt;/C&gt;&lt;D xsi:type="xsd:double"&gt;98.68775&lt;/D&gt;&lt;/FQL&gt;&lt;FQL&gt;&lt;Q&gt;TIMS3-BR^FE_ESTIMATE(SALES,MEAN,ANN_ROLL,0,0,,,'CURRENCY=USD')&lt;/Q&gt;&lt;R&gt;1&lt;/R&gt;&lt;C&gt;1&lt;/C&gt;&lt;D xsi:type="xsd:double"&gt;4404.7373&lt;/D&gt;&lt;/FQL&gt;&lt;FQL&gt;&lt;Q&gt;SCOM-KE^FE_ESTIMATE(EBITDA,MEAN,ANN_ROLL,2,0,,,'CURRENCY=USD')&lt;/Q&gt;&lt;R&gt;1&lt;/R&gt;&lt;C&gt;1&lt;/C&gt;&lt;D xsi:type="xsd:double"&gt;1952.631&lt;/D&gt;&lt;/FQL&gt;&lt;FQL&gt;&lt;Q&gt;6888-KLS^FE_ESTIMATE(SALES,MEAN,ANN_ROLL,1,0,,,'CURRENCY=USD')&lt;/Q&gt;&lt;R&gt;1&lt;/R&gt;&lt;C&gt;1&lt;/C&gt;&lt;D xsi:type="xsd:double"&gt;3717.0923&lt;/D&gt;&lt;/FQL&gt;&lt;FQL&gt;&lt;Q&gt;TLKM-JKT^FG_MKT_VALUE(0,,,USD)&lt;/Q&gt;&lt;R&gt;1&lt;/R&gt;&lt;C&gt;1&lt;/C&gt;&lt;D xsi:type="xsd:double"&gt;18204.717&lt;/D&gt;&lt;/FQL&gt;&lt;FQL&gt;&lt;Q&gt;941-HKG^FE_ESTIMATE(SALES,MEAN,ANN_ROLL,2,0,,,'CURRENCY=USD')&lt;/Q&gt;&lt;R&gt;1&lt;/R&gt;&lt;C&gt;1&lt;/C&gt;&lt;D xsi:type="xsd:double"&gt;151485.66&lt;/D&gt;&lt;/FQL&gt;&lt;FQL&gt;&lt;Q&gt;TIGO-US^FE_ESTIMATE(SALES,MEAN,ANN_ROLL,1,0,,,'CURRENCY=USD')&lt;/Q&gt;&lt;R&gt;1&lt;/R&gt;&lt;C&gt;1&lt;/C&gt;&lt;D xsi:type="xsd:double"&gt;5568.694&lt;/D&gt;&lt;/FQL&gt;&lt;FQL&gt;&lt;Q&gt;762-HKG^FE_ESTIMATE(EBITDA,MEAN,ANN_ROLL,1,0,,,'CURRENCY=USD')&lt;/Q&gt;&lt;R&gt;1&lt;/R&gt;&lt;C&gt;1&lt;/C&gt;&lt;D xsi:type="xsd:double"&gt;14188.705&lt;/D&gt;&lt;/FQL&gt;&lt;FQL&gt;&lt;Q&gt;LYFT-US^FE_ESTIMATE(EBITDA,MEAN,ANN_ROLL,2,0,,,'CURRENCY=USD')&lt;/Q&gt;&lt;R&gt;1&lt;/R&gt;&lt;C&gt;1&lt;/C&gt;&lt;D xsi:type="xsd:double"&gt;663.94934&lt;/D&gt;&lt;/FQL&gt;&lt;FQL&gt;&lt;Q&gt;MTN-ZA^FG_MKT_VALUE(0,,,USD)&lt;/Q&gt;&lt;R&gt;1&lt;/R&gt;&lt;C&gt;1&lt;/C&gt;&lt;D xsi:type="xsd:double"&gt;16485.947&lt;/D&gt;&lt;/FQL&gt;&lt;FQL&gt;&lt;Q&gt;500325-BOM^FE_ESTIMATE(EBITDA,MEAN,ANN_ROLL,1,0,,,'CURRENCY=USD')&lt;/Q&gt;&lt;R&gt;1&lt;/R&gt;&lt;C&gt;1&lt;/C&gt;&lt;D xsi:type="xsd:double"&gt;21539.178&lt;/D&gt;&lt;/FQL&gt;&lt;FQL&gt;&lt;Q&gt;LYFT-US^FE_ESTIMATE(EBITDA,MEAN,ANN_ROLL,1,0,,,'CURRENCY=USD')&lt;/Q&gt;&lt;R&gt;1&lt;/R&gt;&lt;C&gt;1&lt;/C&gt;&lt;D xsi:type="xsd:double"&gt;521.9348&lt;/D&gt;&lt;/FQL&gt;&lt;FQL&gt;&lt;Q&gt;AAF-GB^FE_ESTIMATE(EBITDA,MEAN,ANN_ROLL,2,0,,,'CURRENCY=USD')&lt;/Q&gt;&lt;R&gt;1&lt;/R&gt;&lt;C&gt;1&lt;/C&gt;&lt;D xsi:type="xsd:double"&gt;3282.7278&lt;/D&gt;&lt;/FQL&gt;&lt;FQL&gt;&lt;Q&gt;500325-BOM^FE_ESTIMATE(EBITDA,MEAN,ANN_ROLL,0,0,,,'CURRENCY=USD')&lt;/Q&gt;&lt;R&gt;1&lt;/R&gt;&lt;C&gt;1&lt;/C&gt;&lt;D xsi:type="xsd:double"&gt;19558.95&lt;/D&gt;&lt;/FQL&gt;&lt;FQL&gt;&lt;Q&gt;LYFT-US^FE_ESTIMATE(EBITDA,MEAN,ANN_ROLL,0,0,,,'CURRENCY=USD')&lt;/Q&gt;&lt;R&gt;1&lt;/R&gt;&lt;C&gt;1&lt;/C&gt;&lt;D xsi:type="xsd:double"&gt;382.4&lt;/D&gt;&lt;/FQL&gt;&lt;FQL&gt;&lt;Q&gt;AAF-GB^FE_ESTIMATE(EBITDA,MEAN,ANN_ROLL,1,0,,,'CURRENCY=USD')&lt;/Q&gt;&lt;R&gt;1&lt;/R&gt;&lt;C&gt;1&lt;/C&gt;&lt;D xsi:type="xsd:double"&gt;2843.2202&lt;/D&gt;&lt;/FQL&gt;&lt;FQL&gt;&lt;Q&gt;500325-BOM^FG_ENT_VALUE(0,,,USD)&lt;/Q&gt;&lt;R&gt;1&lt;/R&gt;&lt;C&gt;1&lt;/C&gt;&lt;D xsi:type="xsd:double"&gt;250439.31&lt;/D&gt;&lt;/FQL&gt;&lt;FQL&gt;&lt;Q&gt;LYFT-US^FG_ENT_VALUE(0,,,USD)&lt;/Q&gt;&lt;R&gt;1&lt;/R&gt;&lt;C&gt;1&lt;/C&gt;&lt;D xsi:type="xsd:double"&gt;4487.77&lt;/D&gt;&lt;/FQL&gt;&lt;FQL&gt;&lt;Q&gt;AAF-GB^FE_ESTIMATE(SALES,MEAN,ANN_ROLL,0,0,,,'CURRENCY=USD')&lt;/Q&gt;&lt;R&gt;1&lt;/R&gt;&lt;C&gt;1&lt;/C&gt;&lt;D xsi:type="xsd:double"&gt;4955&lt;/D&gt;&lt;/FQL&gt;&lt;FQL&gt;&lt;Q&gt;500325-BOM^FG_MKT_VALUE(0,,,USD)&lt;/Q&gt;&lt;R&gt;1&lt;/R&gt;&lt;C&gt;1&lt;/C&gt;&lt;D xsi:type="xsd:double"&gt;214077.9&lt;/D&gt;&lt;/FQL&gt;&lt;FQL&gt;&lt;Q&gt;UBER-US^FG_COMPANY_NAME&lt;/Q&gt;&lt;R&gt;1&lt;/R&gt;&lt;C&gt;1&lt;/C&gt;&lt;D xsi:type="xsd:string"&gt;Uber Technologies, Inc.&lt;/D&gt;&lt;/FQL&gt;&lt;FQL&gt;&lt;Q&gt;LILAK-US^FG_ENT_VALUE(0,,,USD)&lt;/Q&gt;&lt;R&gt;1&lt;/R&gt;&lt;C&gt;1&lt;/C&gt;&lt;D xsi:type="xsd:double"&gt;10219.867&lt;/D&gt;&lt;/FQL&gt;&lt;FQL&gt;&lt;Q&gt;6012-KLS^FE_ESTIMATE(SALES,MEAN,ANN_ROLL,2,0,,,'CURRENCY=USD')&lt;/Q&gt;&lt;R&gt;1&lt;/R&gt;&lt;C&gt;1&lt;/C&gt;&lt;D xsi:type="xsd:double"&gt;2600.7368&lt;/D&gt;&lt;/FQL&gt;&lt;FQL&gt;&lt;Q&gt;ISAT-JKT^FE_ESTIMATE(EBITDA,MEAN,ANN_ROLL,1,0,,,'CURRENCY=USD')&lt;/Q&gt;&lt;R&gt;1&lt;/R&gt;&lt;C&gt;1&lt;/C&gt;&lt;D xsi:type="xsd:double"&gt;1670.8859&lt;/D&gt;&lt;/FQL&gt;&lt;FQL&gt;&lt;Q&gt;500325-BOM^FF_NET_DEBT(ANN_R,0,,,,USD,M)&lt;/Q&gt;&lt;R&gt;1&lt;/R&gt;&lt;C&gt;1&lt;/C&gt;&lt;D xsi:type="xsd:double"&gt;16890.1102462411&lt;/D&gt;&lt;/FQL&gt;&lt;FQL&gt;&lt;Q&gt;UBER-US^FG_ENT_VALUE(0,,,USD)&lt;/Q&gt;&lt;R&gt;1&lt;/R&gt;&lt;C&gt;1&lt;/C&gt;&lt;D xsi:type="xsd:double"&gt;193710.34&lt;/D&gt;&lt;/FQL&gt;&lt;FQL&gt;&lt;Q&gt;BHARTIARTL-NSE^FG_ENT_VALUE(0,,,USD)&lt;/Q&gt;&lt;R&gt;1&lt;/R&gt;&lt;C&gt;1&lt;/C&gt;&lt;D xsi:type="xsd:double"&gt;146718.66&lt;/D&gt;&lt;/FQL&gt;&lt;FQL&gt;&lt;Q&gt;VIVT3-BR^FE_ESTIMATE(EBITDA,MEAN,ANN_ROLL,0,0,,,'CURRENCY=USD')&lt;/Q&gt;&lt;R&gt;1&lt;/R&gt;&lt;C&gt;1&lt;/C&gt;&lt;D xsi:type="xsd:double"&gt;4009.9922&lt;/D&gt;&lt;/FQL&gt;&lt;FQL&gt;&lt;Q&gt;762-HKG^FE_ESTIMATE(SALES,MEAN,ANN_ROLL,2,0,,,'CURRENCY=USD')&lt;/Q&gt;&lt;R&gt;1&lt;/R&gt;&lt;C&gt;1&lt;/C&gt;&lt;D xsi:type="xsd:double"&gt;57578.875&lt;/D&gt;&lt;/FQL&gt;&lt;FQL&gt;&lt;Q&gt;LILAK-US^FE_ESTIMATE(EBITDA,MEAN,ANN_ROLL,2,0,,,'CURRENCY=USD')&lt;/Q&gt;&lt;R&gt;1&lt;/R&gt;&lt;C&gt;1&lt;/C&gt;&lt;D xsi:type="xsd:double"&gt;1741.5006&lt;/D&gt;&lt;/FQL&gt;&lt;FQL&gt;&lt;Q&gt;AAF-GB^FE_ESTIMATE(EBITDA,MEAN,ANN_ROLL,0,0,,,'CURRENCY=USD')&lt;/Q&gt;&lt;R&gt;1&lt;/R&gt;&lt;C&gt;1&lt;/C&gt;&lt;D xsi:type="xsd:double"&gt;2300&lt;/D&gt;&lt;/FQL&gt;&lt;FQL&gt;&lt;Q&gt;ISAT-JKT^FE_ESTIMATE(EBITDA,MEAN,ANN_ROLL,0,0,,,'CURRENCY=USD')&lt;/Q&gt;&lt;R&gt;1&lt;/R&gt;&lt;C&gt;1&lt;/C&gt;&lt;D xsi:type="xsd:double"&gt;1615.3845&lt;/D&gt;&lt;/FQL&gt;&lt;FQL&gt;&lt;Q&gt;TLKM-JKT^FG_COMPANY_NAME&lt;/Q&gt;&lt;R&gt;1&lt;/R&gt;&lt;C&gt;1&lt;/C&gt;&lt;D xsi:type="xsd:string"&gt;PT Telkom Indonesia (Persero) Tbk Class B&lt;/D&gt;&lt;/FQL&gt;&lt;FQL&gt;&lt;Q&gt;VEON-US^FE_ESTIMATE(SALES,MEAN,ANN_ROLL,0,0,,,'CURRENCY=USD')&lt;/Q&gt;&lt;R&gt;1&lt;/R&gt;&lt;C&gt;1&lt;/C&gt;&lt;D xsi:type="xsd:double"&gt;4004&lt;/D&gt;&lt;/FQL&gt;&lt;FQL&gt;&lt;Q&gt;500325-BOM^FE_ESTIMATE(SALES,MEAN,ANN_ROLL,0,0,,,'CURRENCY=USD')&lt;/Q&gt;&lt;R&gt;1&lt;/R&gt;&lt;C&gt;1&lt;/C&gt;&lt;D xsi:type="xsd:double"&gt;113372.12&lt;/D&gt;&lt;/FQL&gt;&lt;FQL&gt;&lt;Q&gt;GOTO-ID^FG_MKT_VALUE(0,,,USD)&lt;/Q&gt;&lt;R&gt;1&lt;/R&gt;&lt;C&gt;1&lt;/C&gt;&lt;D xsi:type="xsd:double"&gt;4025.1726&lt;/D&gt;&lt;/FQL&gt;&lt;FQL&gt;&lt;Q&gt;TIGO-US^FE_ESTIMATE(SALES,MEAN,ANN_ROLL,2,0,,,'CURRENCY=USD')&lt;/Q&gt;&lt;R&gt;1&lt;/R&gt;&lt;C&gt;1&lt;/C&gt;&lt;D xsi:type="xsd:double"&gt;5690.3555&lt;/D&gt;&lt;/FQL&gt;&lt;FQL&gt;&lt;Q&gt;SCOM-KE^FF_NET_DEBT(ANN_R,0,,,,USD,M)&lt;/Q&gt;&lt;R&gt;1&lt;/R&gt;&lt;C&gt;1&lt;/C&gt;&lt;D xsi:type="xsd:double"&gt;146.745548023377&lt;/D&gt;&lt;/FQL&gt;&lt;FQL&gt;&lt;Q&gt;6947-KLS^FE_ESTIMATE(EBITDA,MEAN,ANN_ROLL,0,0,,,'CURRENCY=USD')&lt;/Q&gt;&lt;R&gt;1&lt;/R&gt;&lt;C&gt;1&lt;/C&gt;&lt;D xsi:type="xsd:double"&gt;1306.4707&lt;/D&gt;&lt;/FQL&gt;&lt;FQL&gt;&lt;Q&gt;IDEA-NSE^FG_ENT_VALUE(0,,,USD)&lt;/Q&gt;&lt;R&gt;1&lt;/R&gt;&lt;C&gt;1&lt;/C&gt;&lt;D xsi:type="xsd:double"&gt;34219.758&lt;/D&gt;&lt;/FQL&gt;&lt;FQL&gt;&lt;Q&gt;GRAB-US^FG_COMPANY_NAME&lt;/Q&gt;&lt;R&gt;1&lt;/R&gt;&lt;C&gt;1&lt;/C&gt;&lt;D xsi:type="xsd:string"&gt;Grab Holdings Limited Class A&lt;/D&gt;&lt;/FQL&gt;&lt;FQL&gt;&lt;Q&gt;AMX-US^FF_NET_DEBT(ANN_R,0,,,,USD,M)&lt;/Q&gt;&lt;R&gt;1&lt;/R&gt;&lt;C&gt;1&lt;/C&gt;&lt;D xsi:type="xsd:double"&gt;33538.280121677&lt;/D&gt;&lt;/FQL&gt;&lt;FQL&gt;&lt;Q&gt;LYFT-US^FG_COMPANY_NAME&lt;/Q&gt;&lt;R&gt;1&lt;/R&gt;&lt;C&gt;1&lt;/C&gt;&lt;D xsi:type="xsd:string"&gt;Lyft, Inc. Class A&lt;/D&gt;&lt;/FQL&gt;&lt;FQL&gt;&lt;Q&gt;UBER-US^FE_ESTIMATE(SALES,MEAN,ANN_ROLL,0,0,,,'CURRENCY=USD')&lt;/Q&gt;&lt;R&gt;1&lt;/R&gt;&lt;C&gt;1&lt;/C&gt;&lt;D xsi:type="xsd:double"&gt;43978&lt;/D&gt;&lt;/FQL&gt;&lt;FQL&gt;&lt;Q&gt;TRUE-BKK^FE_ESTIMATE(SALES,MEAN,ANN_ROLL,1,0,,,'CURRENCY=USD')&lt;/Q&gt;&lt;R&gt;1&lt;/R&gt;&lt;C&gt;1&lt;/C&gt;&lt;D xsi:type="xsd:double"&gt;6279.4775&lt;/D&gt;&lt;/FQL&gt;&lt;FQL&gt;&lt;Q&gt;BHARTIARTL-NSE^FF_NET_DEBT(ANN_R,0,,,,USD,M)&lt;/Q&gt;&lt;R&gt;1&lt;/R&gt;&lt;C&gt;1&lt;/C&gt;&lt;D xsi:type="xsd:double"&gt;22845.8267828077&lt;/D&gt;&lt;/FQL&gt;&lt;FQL&gt;&lt;Q&gt;500325-BOM^FE_ESTIMATE(SALES,MEAN,ANN_ROLL,2,0,,,'CURRENCY=USD')&lt;/Q&gt;&lt;R&gt;1&lt;/R&gt;&lt;C&gt;1&lt;/C&gt;&lt;D xsi:type="xsd:double"&gt;124478.86&lt;/D&gt;&lt;/FQL&gt;&lt;FQL&gt;&lt;Q&gt;TRUE-BKK^FE_ESTIMATE(EBITDA,MEAN,ANN_ROLL,0,0,,,'CURRENCY=USD')&lt;/Q&gt;&lt;R&gt;1&lt;/R&gt;&lt;C&gt;1&lt;/C&gt;&lt;D xsi:type="xsd:double"&gt;2930.9138&lt;/D&gt;&lt;/FQL&gt;&lt;FQL&gt;&lt;Q&gt;GRAB-US^FE_ESTIMATE(SALES,MEAN,ANN_ROLL,0,0,,,'CURRENCY=USD')&lt;/Q&gt;&lt;R&gt;1&lt;/R&gt;&lt;C&gt;1&lt;/C&gt;&lt;D xsi:type="xsd:double"&gt;2797&lt;/D&gt;&lt;/FQL&gt;&lt;FQL&gt;&lt;Q&gt;BHARTIARTL-NSE^FG_MKT_VALUE(0,,,USD)&lt;/Q&gt;&lt;R&gt;1&lt;/R&gt;&lt;C&gt;1&lt;/C&gt;&lt;D xsi:type="xsd:double"&gt;120702.445&lt;/D&gt;&lt;/FQL&gt;&lt;FQL&gt;&lt;Q&gt;6888-KLS^FE_ESTIMATE(SALES,MEAN,ANN_ROLL,0,0,,,'CURRENCY=USD')&lt;/Q&gt;&lt;R&gt;1&lt;/R&gt;&lt;C&gt;1&lt;/C&gt;&lt;D xsi:type="xsd:double"&gt;5042.8125&lt;/D&gt;&lt;/FQL&gt;&lt;FQL&gt;&lt;Q&gt;LYFT-US^FE_ESTIMATE(SALES,MEAN,ANN_ROLL,2,0,,,'CURRENCY=USD')&lt;/Q&gt;&lt;R&gt;1&lt;/R&gt;&lt;C&gt;1&lt;/C&gt;&lt;D xsi:type="xsd:double"&gt;7424.951&lt;/D&gt;&lt;/FQL&gt;&lt;FQL&gt;&lt;Q&gt;LILAK-US^FF_NET_DEBT(ANN_R,0,,,,USD,M)&lt;/Q&gt;&lt;R&gt;1&lt;/R&gt;&lt;C&gt;1&lt;/C&gt;&lt;D xsi:type="xsd:double"&gt;7963.60000000008&lt;/D&gt;&lt;/FQL&gt;&lt;FQL&gt;&lt;Q&gt;TRUE-BKK^FE_ESTIMATE(EBITDA,MEAN,ANN_ROLL,2,0,,,'CURRENCY=USD')&lt;/Q&gt;&lt;R&gt;1&lt;/R&gt;&lt;C&gt;1&lt;/C&gt;&lt;D xsi:type="xsd:double"&gt;3480.6428&lt;/D&gt;&lt;/FQL&gt;&lt;FQL&gt;&lt;Q&gt;TLKM-JKT^FF_NET_DEBT(ANN_R,0,,,,USD,M)&lt;/Q&gt;&lt;R&gt;1&lt;/R&gt;&lt;C&gt;1&lt;/C&gt;&lt;D xsi:type="xsd:double"&gt;2589.49987600499&lt;/D&gt;&lt;/FQL&gt;&lt;FQL&gt;&lt;Q&gt;GRAB-US^FE_ESTIMATE(EBITDA,MEAN,ANN_ROLL,2,0,,,'CURRENCY=USD')&lt;/Q&gt;&lt;R&gt;1&lt;/R&gt;&lt;C&gt;1&lt;/C&gt;&lt;D xsi:type="xsd:double"&gt;750.0045&lt;/D&gt;&lt;/FQL&gt;&lt;FQL&gt;&lt;Q&gt;BHARTIARTL-NSE^FE_ESTIMATE(SALES,MEAN,ANN_ROLL,2,0,,,'CURRENCY=USD')&lt;/Q&gt;&lt;R&gt;1&lt;/R&gt;&lt;C&gt;1&lt;/C&gt;&lt;D xsi:type="xsd:double"&gt;26807.723&lt;/D&gt;&lt;/FQL&gt;&lt;FQL&gt;&lt;Q&gt;GRAB-US^FG_ENT_VALUE(0,,,USD)&lt;/Q&gt;&lt;R&gt;1&lt;/R&gt;&lt;C&gt;1&lt;/C&gt;&lt;D xsi:type="xsd:double"&gt;14401.32&lt;/D&gt;&lt;/FQL&gt;&lt;FQL&gt;&lt;Q&gt;MTN-ZA^FE_ESTIMATE(SALES,MEAN,ANN_ROLL,0,0,,,'CURRENCY=USD')&lt;/Q&gt;&lt;R&gt;1&lt;/R&gt;&lt;C&gt;1&lt;/C&gt;&lt;D xsi:type="xsd:double"&gt;10396.848&lt;/D&gt;&lt;/FQL&gt;&lt;FQL&gt;&lt;Q&gt;500325-BOM^FE_ESTIMATE(SALES,MEAN,ANN_ROLL,1,0,,,'CURRENCY=USD')&lt;/Q&gt;&lt;R&gt;1&lt;/R&gt;&lt;C&gt;1&lt;/C&gt;&lt;D xsi:type="xsd:double"&gt;115000.04&lt;/D&gt;&lt;/FQL&gt;&lt;FQL&gt;&lt;Q&gt;500325-BOM^FG_COMPANY_NAME&lt;/Q&gt;&lt;R&gt;1&lt;/R&gt;&lt;C&gt;1&lt;/C&gt;&lt;D xsi:type="xsd:string"&gt;Reliance Industries Limited&lt;/D&gt;&lt;/FQL&gt;&lt;FQL&gt;&lt;Q&gt;TIMS3-BR^FE_ESTIMATE(EBITDA,MEAN,ANN_ROLL,0,0,,,'CURRENCY=USD')&lt;/Q&gt;&lt;R&gt;1&lt;/R&gt;&lt;C&gt;1&lt;/C&gt;&lt;D xsi:type="xsd:double"&gt;2207.9575&lt;/D&gt;&lt;/FQL&gt;&lt;FQL&gt;&lt;Q&gt;6888-KLS^FE_ESTIMATE(EBITDA,MEAN,ANN_ROLL,0,0,,,'CURRENCY=USD')&lt;/Q&gt;&lt;R&gt;1&lt;/R&gt;&lt;C&gt;1&lt;/C&gt;&lt;D xsi:type="xsd:double"&gt;2467.7102&lt;/D&gt;&lt;/FQL&gt;&lt;FQL&gt;&lt;Q&gt;728-HKG^FE_ESTIMATE(EBITDA,MEAN,ANN_ROLL,0,0,,,'CURRENCY=USD')&lt;/Q&gt;&lt;R&gt;1&lt;/R&gt;&lt;C&gt;1&lt;/C&gt;&lt;D xsi:type="xsd:double"&gt;19474.666&lt;/D&gt;&lt;/FQL&gt;&lt;FQL&gt;&lt;Q&gt;TLKM-JKT^FE_ESTIMATE(SALES,MEAN,ANN_ROLL,1,0,,,'CURRENCY=USD')&lt;/Q&gt;&lt;R&gt;1&lt;/R&gt;&lt;C&gt;1&lt;/C&gt;&lt;D xsi:type="xsd:double"&gt;9221.196&lt;/D&gt;&lt;/FQL&gt;&lt;FQL&gt;&lt;Q&gt;VOD-ZA^FF_NET_DEBT(ANN_R,0,,,,USD,M)&lt;/Q&gt;&lt;R&gt;1&lt;/R&gt;&lt;C&gt;1&lt;/C&gt;&lt;D xsi:type="xsd:double"&gt;2749.96065830067&lt;/D&gt;&lt;/FQL&gt;&lt;FQL&gt;&lt;Q&gt;VIVT3-BR^FG_COMPANY_NAME&lt;/Q&gt;&lt;R&gt;1&lt;/R&gt;&lt;C&gt;1&lt;/C&gt;&lt;D xsi:type="xsd:string"&gt;Telefonica Brasil S.A.&lt;/D&gt;&lt;/FQL&gt;&lt;FQL&gt;&lt;Q&gt;TIMS3-BR^FE_ESTIMATE(EBITDA,MEAN,ANN_ROLL,2,0,,,'CURRENCY=USD')&lt;/Q&gt;&lt;R&gt;1&lt;/R&gt;&lt;C&gt;1&lt;/C&gt;&lt;D xsi:type="xsd:double"&gt;2590.4795&lt;/D&gt;&lt;/FQL&gt;&lt;FQL&gt;&lt;Q&gt;6888-KLS^FG_MKT_VALUE(0,,,USD)&lt;/Q&gt;&lt;R&gt;1&lt;/R&gt;&lt;C&gt;1&lt;/C&gt;&lt;D xsi:type="xsd:double"&gt;5684.6416&lt;/D&gt;&lt;/FQL&gt;&lt;FQL&gt;&lt;Q&gt;ADVANC-BKK^FG_MKT_VALUE(0,,,USD)&lt;/Q&gt;&lt;R&gt;1&lt;/R&gt;&lt;C&gt;1&lt;/C&gt;&lt;D xsi:type="xsd:double"&gt;27322.621&lt;/D&gt;&lt;/FQL&gt;&lt;FQL&gt;&lt;Q&gt;AMX-US^FE_ESTIMATE(EBITDA,MEAN,ANN_ROLL,1,0,,,'CURRENCY=USD')&lt;/Q&gt;&lt;R&gt;1&lt;/R&gt;&lt;C&gt;1&lt;/C&gt;&lt;D xsi:type="xsd:double"&gt;19558.021&lt;/D&gt;&lt;/FQL&gt;&lt;FQL&gt;&lt;Q&gt;EXCL-JKT^FE_ESTIMATE(EBITDA,MEAN,ANN_ROLL,2,0,,,'CURRENCY=USD')&lt;/Q&gt;&lt;R&gt;1&lt;/R&gt;&lt;C&gt;1&lt;/C&gt;&lt;D xsi:type="xsd:double"&gt;1478.2474&lt;/D&gt;&lt;/FQL&gt;&lt;FQL&gt;&lt;Q&gt;VOD-ZA^FE_ESTIMATE(SALES,MEAN,ANN_ROLL,0,0,,,'CURRENCY=USD')&lt;/Q&gt;&lt;R&gt;1&lt;/R&gt;&lt;C&gt;1&lt;/C&gt;&lt;D xsi:type="xsd:double"&gt;8424.294&lt;/D&gt;&lt;/FQL&gt;&lt;FQL&gt;&lt;Q&gt;SCOM-KE^FE_ESTIMATE(EBITDA,MEAN,ANN_ROLL,1,0,,,'CURRENCY=USD')&lt;/Q&gt;&lt;R&gt;1&lt;/R&gt;&lt;C&gt;1&lt;/C&gt;&lt;D xsi:type="xsd:double"&gt;1712.7935&lt;/D&gt;&lt;/FQL&gt;&lt;FQL&gt;&lt;Q&gt;LILAK-US^FE_ESTIMATE(EBITDA,MEAN,ANN_ROLL,1,0,,,'CURRENCY=USD')&lt;/Q&gt;&lt;R&gt;1&lt;/R&gt;&lt;C&gt;1&lt;/C&gt;&lt;D xsi:type="xsd:double"&gt;1647.5092&lt;/D&gt;&lt;/FQL&gt;&lt;FQL&gt;&lt;Q&gt;6012-KLS^FE_ESTIMATE(EBITDA,MEAN,ANN_ROLL,2,0,,,'CURRENCY=USD')&lt;/Q&gt;&lt;R&gt;1&lt;/R&gt;&lt;C&gt;1&lt;/C&gt;&lt;D xsi:type="xsd:double"&gt;1009.10077&lt;/D&gt;&lt;/FQL&gt;&lt;FQL&gt;&lt;Q&gt;AMX-US^FG_COMPANY_NAME&lt;/Q&gt;&lt;R&gt;1&lt;/R&gt;&lt;C&gt;1&lt;/C&gt;&lt;D xsi:type="xsd:string"&gt;America Movil SAB de CV Sponsored ADR Class B&lt;/D&gt;&lt;/FQL&gt;&lt;FQL&gt;&lt;Q&gt;SCOM-KE^FG_MKT_VALUE(0,,,USD)&lt;/Q&gt;&lt;R&gt;1&lt;/R&gt;&lt;C&gt;1&lt;/C&gt;&lt;D xsi:type="xsd:double"&gt;8186.513&lt;/D&gt;&lt;/FQL&gt;&lt;FQL&gt;&lt;Q&gt;TIMS3-BR^FE_ESTIMATE(EBITDA,MEAN,ANN_ROLL,1,0,,,'CURRENCY=USD')&lt;/Q&gt;&lt;R&gt;1&lt;/R&gt;&lt;C&gt;1&lt;/C&gt;&lt;D xsi:type="xsd:double"&gt;2449.6646&lt;/D&gt;&lt;/FQL&gt;&lt;FQL&gt;&lt;Q&gt;6888-KLS^FE_ESTIMATE(EBITDA,MEAN,ANN_ROLL,2,0,,,'CURRENCY=USD')&lt;/Q&gt;&lt;R&gt;1&lt;/R&gt;&lt;C&gt;1&lt;/C&gt;&lt;D xsi:type="xsd:double"&gt;1463.3627&lt;/D&gt;&lt;/FQL&gt;&lt;FQL&gt;&lt;Q&gt;728-HKG^FE_ESTIMATE(EBITDA,MEAN,ANN_ROLL,2,0,,,'CURRENCY=USD')&lt;/Q&gt;&lt;R&gt;1&lt;/R&gt;&lt;C&gt;1&lt;/C&gt;&lt;D xsi:type="xsd:double"&gt;20664.451&lt;/D&gt;&lt;/FQL&gt;&lt;FQL&gt;&lt;Q&gt;6888-KLS^FE_ESTIMATE(EBITDA,MEAN,ANN_ROLL,1,0,,,'CURRENCY=USD')&lt;/Q&gt;&lt;R&gt;1&lt;/R&gt;&lt;C&gt;1&lt;/C&gt;&lt;D xsi:type="xsd:double"&gt;1707.6757&lt;/D&gt;&lt;/FQL&gt;&lt;FQL&gt;&lt;Q&gt;728-HKG^FE_ESTIMATE(EBITDA,MEAN,ANN_ROLL,1,0,,,'CURRENCY=USD')&lt;/Q&gt;&lt;R&gt;1&lt;/R&gt;&lt;C&gt;1&lt;/C&gt;&lt;D xsi:type="xsd:double"&gt;20084.229&lt;/D&gt;&lt;/FQL&gt;&lt;FQL&gt;&lt;Q&gt;TIMS3-BR^FE_ESTIMATE(SALES,MEAN,ANN_ROLL,2,0,,,'CURRENCY=USD')&lt;/Q&gt;&lt;R&gt;1&lt;/R&gt;&lt;C&gt;1&lt;/C&gt;&lt;D xsi:type="xsd:double"&gt;5096.4424&lt;/D&gt;&lt;/FQL&gt;&lt;FQL&gt;&lt;Q&gt;TIMS3-BR^FF_NET_DEBT(ANN_R,0,,,,USD,M)&lt;/Q&gt;&lt;R&gt;1&lt;/R&gt;&lt;C&gt;1&lt;/C&gt;&lt;D xsi:type="xsd:double"&gt;1605.43932738151&lt;/D&gt;&lt;/FQL&gt;&lt;FQL&gt;&lt;Q&gt;6888-KLS^FG_ENT_VALUE(0,,,USD)&lt;/Q&gt;&lt;R&gt;1&lt;/R&gt;&lt;C&gt;1&lt;/C&gt;&lt;D xsi:type="xsd:double"&gt;13440.718&lt;/D&gt;&lt;/FQL&gt;&lt;FQL&gt;&lt;Q&gt;728-HKG^FF_NET_DEBT(ANN_R,0,,,,USD,M)&lt;/Q&gt;&lt;R&gt;1&lt;/R&gt;&lt;C&gt;1&lt;/C&gt;&lt;D xsi:type="xsd:double"&gt;-5653.45770471555&lt;/D&gt;&lt;/FQL&gt;&lt;FQL&gt;&lt;Q&gt;TIGO-US^FE_ESTIMATE(EBITDA,MEAN,ANN_ROLL,2,0,,,'CURRENCY=USD')&lt;/Q&gt;&lt;R&gt;1&lt;/R&gt;&lt;C&gt;1&lt;/C&gt;&lt;D xsi:type="xsd:double"&gt;2606.6443&lt;/D&gt;&lt;/FQL&gt;&lt;FQL&gt;&lt;Q&gt;728-HKG^FG_COMPANY_NAME&lt;/Q&gt;&lt;R&gt;1&lt;/R&gt;&lt;C&gt;1&lt;/C&gt;&lt;D xsi:type="xsd:string"&gt;China Telecom Corp. Ltd. Class H&lt;/D&gt;&lt;/FQL&gt;&lt;FQL&gt;&lt;Q&gt;728-HKG^FE_ESTIMATE(SALES,MEAN,ANN_ROLL,1,0,,,'CURRENCY=USD')&lt;/Q&gt;&lt;R&gt;1&lt;/R&gt;&lt;C&gt;1&lt;/C&gt;&lt;D xsi:type="xsd:double"&gt;75548.47&lt;/D&gt;&lt;/FQL&gt;&lt;FQL&gt;&lt;Q&gt;ADVANC-BKK^FG_COMPANY_NAME&lt;/Q&gt;&lt;R&gt;1&lt;/R&gt;&lt;C&gt;1&lt;/C&gt;&lt;D xsi:type="xsd:string"&gt;Advanced Info Service Public Co., Ltd.&lt;/D&gt;&lt;/FQL&gt;&lt;FQL&gt;&lt;Q&gt;941-HKG^FG_MKT_VALUE(0,,,USD)&lt;/Q&gt;&lt;R&gt;1&lt;/R&gt;&lt;C&gt;1&lt;/C&gt;&lt;D xsi:type="xsd:double"&gt;239308.16&lt;/D&gt;&lt;/FQL&gt;&lt;FQL&gt;&lt;Q&gt;ISAT-JKT^FG_MKT_VALUE(0,,,USD)&lt;/Q&gt;&lt;R&gt;1&lt;/R&gt;&lt;C&gt;1&lt;/C&gt;&lt;D xsi:type="xsd:double"&gt;4479.828&lt;/D&gt;&lt;/FQL&gt;&lt;FQL&gt;&lt;Q&gt;ADVANC-BKK^FE_ESTIMATE(EBITDA,MEAN,ANN_ROLL,2,0,,,'CURRENCY=USD')&lt;/Q&gt;&lt;R&gt;1&lt;/R&gt;&lt;C&gt;1&lt;/C&gt;&lt;D xsi:type="xsd:double"&gt;3803.6848&lt;/D&gt;&lt;/FQL&gt;&lt;FQL&gt;&lt;Q&gt;500325-BOM^FE_ESTIMATE(EBITDA,MEAN,ANN_ROLL,2,0,,,'CURRENCY=USD')&lt;/Q&gt;&lt;R&gt;1&lt;/R&gt;&lt;C&gt;1&lt;/C&gt;&lt;D xsi:type="xsd:double"&gt;24059.318&lt;/D&gt;&lt;/FQL&gt;&lt;FQL&gt;&lt;Q&gt;TIGO-US^FG_ENT_VALUE(0,,,USD)&lt;/Q&gt;&lt;R&gt;1&lt;/R&gt;&lt;C&gt;1&lt;/C&gt;&lt;D xsi:type="xsd:double"&gt;13878.242&lt;/D&gt;&lt;/FQL&gt;&lt;FQL&gt;&lt;Q&gt;6947-KLS^FE_ESTIMATE(SALES,MEAN,ANN_ROLL,0,0,,,'CURRENCY=USD')&lt;/Q&gt;&lt;R&gt;1&lt;/R&gt;&lt;C&gt;1&lt;/C&gt;&lt;D xsi:type="xsd:double"&gt;2846.105&lt;/D&gt;&lt;/FQL&gt;&lt;FQL&gt;&lt;Q&gt;941-HKG^FE_ESTIMATE(EBITDA,MEAN,ANN_ROLL,1,0,,,'CURRENCY=USD')&lt;/Q&gt;&lt;R&gt;1&lt;/R&gt;&lt;C&gt;1&lt;/C&gt;&lt;D xsi:type="xsd:double"&gt;48121.54&lt;/D&gt;&lt;/FQL&gt;&lt;FQL&gt;&lt;Q&gt;VIVT3-BR^FE_ESTIMATE(EBITDA,MEAN,ANN_ROLL,1,0,,,'CURRENCY=USD')&lt;/Q&gt;&lt;R&gt;1&lt;/R&gt;&lt;C&gt;1&lt;/C&gt;&lt;D xsi:type="xsd:double"&gt;4482.3423&lt;/D&gt;&lt;/FQL&gt;&lt;FQL&gt;&lt;Q&gt;6947-KLS^FG_ENT_VALUE(0,,,USD)&lt;/Q&gt;&lt;R&gt;1&lt;/R&gt;&lt;C&gt;1&lt;/C&gt;&lt;D xsi:type="xsd:double"&gt;13393.023&lt;/D&gt;&lt;/FQL&gt;&lt;FQL&gt;&lt;Q&gt;6947-KLS^FG_COMPANY_NAME&lt;/Q&gt;&lt;R&gt;1&lt;/R&gt;&lt;C&gt;1&lt;/C&gt;&lt;D xsi:type="xsd:string"&gt;CelcomDigi Berhad&lt;/D&gt;&lt;/FQL&gt;&lt;FQL&gt;&lt;Q&gt;TIGO-US^FG_MKT_VALUE(0,,,USD)&lt;/Q&gt;&lt;R&gt;1&lt;/R&gt;&lt;C&gt;1&lt;/C&gt;&lt;D xsi:type="xsd:double"&gt;7319.242&lt;/D&gt;&lt;/FQL&gt;&lt;FQL&gt;&lt;Q&gt;LILAK-US^FG_MKT_VALUE(0,,,USD)&lt;/Q&gt;&lt;R&gt;1&lt;/R&gt;&lt;C&gt;1&lt;/C&gt;&lt;D xsi:type="xsd:double"&gt;1534.7671&lt;/D&gt;&lt;/FQL&gt;&lt;FQL&gt;&lt;Q&gt;BHARTIARTL-NSE^FG_COMPANY_NAME&lt;/Q&gt;&lt;R&gt;1&lt;/R&gt;&lt;C&gt;1&lt;/C&gt;&lt;D xsi:type="xsd:string"&gt;Bharti Airtel Limited&lt;/D&gt;&lt;/FQL&gt;&lt;FQL&gt;&lt;Q&gt;LILAK-US^FE_ESTIMATE(SALES,MEAN,ANN_ROLL,2,0,,,'CURRENCY=USD')&lt;/Q&gt;&lt;R&gt;1&lt;/R&gt;&lt;C&gt;1&lt;/C&gt;&lt;D xsi:type="xsd:double"&gt;4596.898&lt;/D&gt;&lt;/FQL&gt;&lt;FQL&gt;&lt;Q&gt;BHARTIARTL-NSE^FE_ESTIMATE(EBITDA,MEAN,ANN_ROLL,0,0,,,'CURRENCY=USD')&lt;/Q&gt;&lt;R&gt;1&lt;/R&gt;&lt;C&gt;1&lt;/C&gt;&lt;D xsi:type="xsd:double"&gt;11052.018&lt;/D&gt;&lt;/FQL&gt;&lt;FQL&gt;&lt;Q&gt;6012-KLS^FE_ESTIMATE(EBITDA,MEAN,ANN_ROLL,0,0,,,'CURRENCY=USD')&lt;/Q&gt;&lt;R&gt;1&lt;/R&gt;&lt;C&gt;1&lt;/C&gt;&lt;D xsi:type="xsd:double"&gt;928.01117&lt;/D&gt;&lt;/FQL&gt;&lt;FQL&gt;&lt;Q&gt;EXCL-JKT^FG_ENT_VALUE(0,,,USD)&lt;/Q&gt;&lt;R&gt;1&lt;/R&gt;&lt;C&gt;1&lt;/C&gt;&lt;D xsi:type="xsd:double"&gt;5639.85&lt;/D&gt;&lt;/FQL&gt;&lt;FQL&gt;&lt;Q&gt;TIGO-US^FF_NET_DEBT(ANN_R,0,,,,USD,M)&lt;/Q&gt;&lt;R&gt;1&lt;/R&gt;&lt;C&gt;1&lt;/C&gt;&lt;D xsi:type="xsd:double"&gt;6013.00000003638&lt;/D&gt;&lt;/FQL&gt;&lt;FQL&gt;&lt;Q&gt;762-HKG^FG_MKT_VALUE(0,,,USD)&lt;/Q&gt;&lt;R&gt;1&lt;/R&gt;&lt;C&gt;1&lt;/C&gt;&lt;D xsi:type="xsd:double"&gt;39407.49&lt;/D&gt;&lt;/FQL&gt;&lt;FQL&gt;&lt;Q&gt;6947-KLS^FF_NET_DEBT(ANN_R,0,,,,USD,M)&lt;/Q&gt;&lt;R&gt;1&lt;/R&gt;&lt;C&gt;1&lt;/C&gt;&lt;D xsi:type="xsd:double"&gt;2866.03008328749&lt;/D&gt;&lt;/FQL&gt;&lt;FQL&gt;&lt;Q&gt;LYFT-US^FF_NET_DEBT(ANN_R,0,,,,USD,M)&lt;/Q&gt;&lt;R&gt;1&lt;/R&gt;&lt;C&gt;1&lt;/C&gt;&lt;D xsi:type="xsd:double"&gt;-726.511&lt;/D&gt;&lt;/FQL&gt;&lt;FQL&gt;&lt;Q&gt;TRUE-BKK^FE_ESTIMATE(SALES,MEAN,ANN_ROLL,2,0,,,'CURRENCY=USD')&lt;/Q&gt;&lt;R&gt;1&lt;/R&gt;&lt;C&gt;1&lt;/C&gt;&lt;D xsi:type="xsd:double"&gt;6179.6245&lt;/D&gt;&lt;/FQL&gt;&lt;FQL&gt;&lt;Q&gt;UBER-US^FE_ESTIMATE(EBITDA,MEAN,ANN_ROLL,1,0,,,'CURRENCY=USD')&lt;/Q&gt;&lt;R&gt;1&lt;/R&gt;&lt;C&gt;1&lt;/C&gt;&lt;D xsi:type="xsd:double"&gt;8722.407&lt;/D&gt;&lt;/FQL&gt;&lt;FQL&gt;&lt;Q&gt;LYFT-US^FE_ESTIMATE(SALES,MEAN,ANN_ROLL,0,0,,,'CURRENCY=USD')&lt;/Q&gt;&lt;R&gt;1&lt;/R&gt;&lt;C&gt;1&lt;/C&gt;&lt;D xsi:type="xsd:double"&gt;5786&lt;/D&gt;&lt;/FQL&gt;&lt;FQL&gt;&lt;Q&gt;LILAK-US^FE_ESTIMATE(SALES,MEAN,ANN_ROLL,0,0,,,'CURRENCY=USD')&lt;/Q&gt;&lt;R&gt;1&lt;/R&gt;&lt;C&gt;1&lt;/C&gt;&lt;D xsi:type="xsd:double"&gt;4457&lt;/D&gt;&lt;/FQL&gt;&lt;FQL&gt;&lt;Q&gt;VEON-US^FE_ESTIMATE(EBITDA,MEAN,ANN_ROLL,2,0,,,'CURRENCY=USD')&lt;/Q&gt;&lt;R&gt;1&lt;/R&gt;&lt;C&gt;1&lt;/C&gt;&lt;D xsi:type="xsd:double"&gt;2008.6&lt;/D&gt;&lt;/FQL&gt;&lt;FQL&gt;&lt;Q&gt;6947-KLS^FE_ESTIMATE(SALES,MEAN,ANN_ROLL,1,0,,,'CURRENCY=USD')&lt;/Q&gt;&lt;R&gt;1&lt;/R&gt;&lt;C&gt;1&lt;/C&gt;&lt;D xsi:type="xsd:double"&gt;3044.7854&lt;/D&gt;&lt;/FQL&gt;&lt;FQL&gt;&lt;Q&gt;AMX-US^FE_ESTIMATE(SALES,MEAN,ANN_ROLL,0,0,,,'CURRENCY=USD')&lt;/Q&gt;&lt;R&gt;1&lt;/R&gt;&lt;C&gt;1&lt;/C&gt;&lt;D xsi:type="xsd:double"&gt;42392.703&lt;/D&gt;&lt;/FQL&gt;&lt;FQL&gt;&lt;Q&gt;TRUE-BKK^FF_NET_DEBT(ANN_R,0,,,,USD,M)&lt;/Q&gt;&lt;R&gt;1&lt;/R&gt;&lt;C&gt;1&lt;/C&gt;&lt;D xsi:type="xsd:double"&gt;11999.1386320912&lt;/D&gt;&lt;/FQL&gt;&lt;FQL&gt;&lt;Q&gt;IDEA-NSE^FG_MKT_VALUE(0,,,USD)&lt;/Q&gt;&lt;R&gt;1&lt;/R&gt;&lt;C&gt;1&lt;/C&gt;&lt;D xsi:type="xsd:double"&gt;8169.2515&lt;/D&gt;&lt;/FQL&gt;&lt;FQL&gt;&lt;Q&gt;BHARTIARTL-NSE^FE_ESTIMATE(SALES,MEAN,ANN_ROLL,1,0,,,'CURRENCY=USD')&lt;/Q&gt;&lt;R&gt;1&lt;/R&gt;&lt;C&gt;1&lt;/C&gt;&lt;D xsi:type="xsd:double"&gt;236</t>
        </r>
      </text>
    </comment>
    <comment ref="A2" authorId="0" shapeId="0" xr:uid="{4AC6AD01-B800-4F47-A0CE-7BD40ADF32F9}">
      <text>
        <r>
          <rPr>
            <b/>
            <sz val="9"/>
            <color indexed="81"/>
            <rFont val="Tahoma"/>
            <charset val="1"/>
          </rPr>
          <t>70.451&lt;/D&gt;&lt;/FQL&gt;&lt;FQL&gt;&lt;Q&gt;IDEA-NSE^FE_ESTIMATE(SALES,MEAN,ANN_ROLL,0,0,,,'CURRENCY=USD')&lt;/Q&gt;&lt;R&gt;1&lt;/R&gt;&lt;C&gt;1&lt;/C&gt;&lt;D xsi:type="xsd:double"&gt;5091.5923&lt;/D&gt;&lt;/FQL&gt;&lt;FQL&gt;&lt;Q&gt;ADVANC-BKK^FE_ESTIMATE(EBITDA,MEAN,ANN_ROLL,0,0,,,'CURRENCY=USD')&lt;/Q&gt;&lt;R&gt;1&lt;/R&gt;&lt;C&gt;1&lt;/C&gt;&lt;D xsi:type="xsd:double"&gt;3322.977&lt;/D&gt;&lt;/FQL&gt;&lt;FQL&gt;&lt;Q&gt;GRAB-US^FE_ESTIMATE(SALES,MEAN,ANN_ROLL,1,0,,,'CURRENCY=USD')&lt;/Q&gt;&lt;R&gt;1&lt;/R&gt;&lt;C&gt;1&lt;/C&gt;&lt;D xsi:type="xsd:double"&gt;3406.1924&lt;/D&gt;&lt;/FQL&gt;&lt;FQL&gt;&lt;Q&gt;MTN-ZA^FG_ENT_VALUE(0,,,USD)&lt;/Q&gt;&lt;R&gt;1&lt;/R&gt;&lt;C&gt;1&lt;/C&gt;&lt;D xsi:type="xsd:double"&gt;23346.254&lt;/D&gt;&lt;/FQL&gt;&lt;FQL&gt;&lt;Q&gt;VEON-US^FE_ESTIMATE(EBITDA,MEAN,ANN_ROLL,0,0,,,'CURRENCY=USD')&lt;/Q&gt;&lt;R&gt;1&lt;/R&gt;&lt;C&gt;1&lt;/C&gt;&lt;D xsi:type="xsd:double"&gt;1691&lt;/D&gt;&lt;/FQL&gt;&lt;FQL&gt;&lt;Q&gt;6888-KLS^FF_NET_DEBT(ANN_R,0,,,,USD,M)&lt;/Q&gt;&lt;R&gt;1&lt;/R&gt;&lt;C&gt;1&lt;/C&gt;&lt;D xsi:type="xsd:double"&gt;6567.25577225147&lt;/D&gt;&lt;/FQL&gt;&lt;FQL&gt;&lt;Q&gt;941-HKG^FE_ESTIMATE(SALES,MEAN,ANN_ROLL,0,0,,,'CURRENCY=USD')&lt;/Q&gt;&lt;R&gt;1&lt;/R&gt;&lt;C&gt;1&lt;/C&gt;&lt;D xsi:type="xsd:double"&gt;143552.95&lt;/D&gt;&lt;/FQL&gt;&lt;FQL&gt;&lt;Q&gt;LYFT-US^FE_ESTIMATE(SALES,MEAN,ANN_ROLL,1,0,,,'CURRENCY=USD')&lt;/Q&gt;&lt;R&gt;1&lt;/R&gt;&lt;C&gt;1&lt;/C&gt;&lt;D xsi:type="xsd:double"&gt;6527.779&lt;/D&gt;&lt;/FQL&gt;&lt;FQL&gt;&lt;Q&gt;GRAB-US^FE_ESTIMATE(EBITDA,MEAN,ANN_ROLL,0,0,,,'CURRENCY=USD')&lt;/Q&gt;&lt;R&gt;1&lt;/R&gt;&lt;C&gt;1&lt;/C&gt;&lt;D xsi:type="xsd:double"&gt;313&lt;/D&gt;&lt;/FQL&gt;&lt;FQL&gt;&lt;Q&gt;IDEA-NSE^FE_ESTIMATE(SALES,MEAN,ANN_ROLL,2,0,,,'CURRENCY=USD')&lt;/Q&gt;&lt;R&gt;1&lt;/R&gt;&lt;C&gt;1&lt;/C&gt;&lt;D xsi:type="xsd:double"&gt;6141.191&lt;/D&gt;&lt;/FQL&gt;&lt;FQL&gt;&lt;Q&gt;AAF-GB^FE_ESTIMATE(SALES,MEAN,ANN_ROLL,2,0,,,'CURRENCY=USD')&lt;/Q&gt;&lt;R&gt;1&lt;/R&gt;&lt;C&gt;1&lt;/C&gt;&lt;D xsi:type="xsd:double"&gt;6732.5737&lt;/D&gt;&lt;/FQL&gt;&lt;FQL&gt;&lt;Q&gt;941-HKG^FG_ENT_VALUE(0,,,USD)&lt;/Q&gt;&lt;R&gt;1&lt;/R&gt;&lt;C&gt;1&lt;/C&gt;&lt;D xsi:type="xsd:double"&gt;205884.81&lt;/D&gt;&lt;/FQL&gt;&lt;FQL&gt;&lt;Q&gt;AAF-GB^FG_MKT_VALUE(0,,,USD)&lt;/Q&gt;&lt;R&gt;1&lt;/R&gt;&lt;C&gt;1&lt;/C&gt;&lt;D xsi:type="xsd:double"&gt;10365.141&lt;/D&gt;&lt;/FQL&gt;&lt;FQL&gt;&lt;Q&gt;6012-KLS^FF_NET_DEBT(ANN_R,0,,,,USD,M)&lt;/Q&gt;&lt;R&gt;1&lt;/R&gt;&lt;C&gt;1&lt;/C&gt;&lt;D xsi:type="xsd:double"&gt;1973.61072488129&lt;/D&gt;&lt;/FQL&gt;&lt;FQL&gt;&lt;Q&gt;762-HKG^FE_ESTIMATE(SALES,MEAN,ANN_ROLL,0,0,,,'CURRENCY=USD')&lt;/Q&gt;&lt;R&gt;1&lt;/R&gt;&lt;C&gt;1&lt;/C&gt;&lt;D xsi:type="xsd:double"&gt;53841.12&lt;/D&gt;&lt;/FQL&gt;&lt;FQL&gt;&lt;Q&gt;USDUAH^P_PRICE_AVG(45658,45658)&lt;/Q&gt;&lt;R&gt;1&lt;/R&gt;&lt;C&gt;1&lt;/C&gt;&lt;D xsi:type="xsd:double"&gt;42.01002&lt;/D&gt;&lt;/FQL&gt;&lt;FQL&gt;&lt;Q&gt;USDUAH^P_PRICE_AVG(45870,45870)&lt;/Q&gt;&lt;R&gt;0&lt;/R&gt;&lt;C&gt;0&lt;/C&gt;&lt;/FQL&gt;&lt;FQL&gt;&lt;Q&gt;USDUAH^P_PRICE_AVG(45869,45869)&lt;/Q&gt;&lt;R&gt;1&lt;/R&gt;&lt;C&gt;1&lt;/C&gt;&lt;D xsi:type="xsd:double"&gt;41.7338&lt;/D&gt;&lt;/FQL&gt;&lt;FQL&gt;&lt;Q&gt;^P_EXCH_RATE(EUR,USD,0)&lt;/Q&gt;&lt;R&gt;1&lt;/R&gt;&lt;C&gt;1&lt;/C&gt;&lt;D xsi:type="xsd:double"&gt;1.14455&lt;/D&gt;&lt;/FQL&gt;&lt;FQL&gt;&lt;Q&gt;^P_EXCH_RATE(USDUAH,USD,0)&lt;/Q&gt;&lt;R&gt;1&lt;/R&gt;&lt;C&gt;1&lt;/C&gt;&lt;D xsi:type="xsd:string"&gt;#NUM&lt;/D&gt;&lt;/FQL&gt;&lt;FQL&gt;&lt;Q&gt;^P_EXCH_RATE(EUR,USD,45658)&lt;/Q&gt;&lt;R&gt;1&lt;/R&gt;&lt;C&gt;1&lt;/C&gt;&lt;D xsi:type="xsd:double"&gt;1.0354693&lt;/D&gt;&lt;/FQL&gt;&lt;FQL&gt;&lt;Q&gt;^P_EXCH_RATE(EUR,USD,45658,45869)&lt;/Q&gt;&lt;R&gt;152&lt;/R&gt;&lt;C&gt;1&lt;/C&gt;&lt;D xsi:type="xsd:double"&gt;1.0354693&lt;/D&gt;&lt;D xsi:type="xsd:double"&gt;1.0275&lt;/D&gt;&lt;D xsi:type="xsd:double"&gt;1.0289&lt;/D&gt;&lt;D xsi:type="xsd:double"&gt;1.0394&lt;/D&gt;&lt;D xsi:type="xsd:double"&gt;1.03725&lt;/D&gt;&lt;D xsi:type="xsd:double"&gt;1.0300499&lt;/D&gt;&lt;D xsi:type="xsd:double"&gt;1.02995&lt;/D&gt;&lt;D xsi:type="xsd:double"&gt;1.02495&lt;/D&gt;&lt;D xsi:type="xsd:double"&gt;1.0197&lt;/D&gt;&lt;D xsi:type="xsd:double"&gt;1.0294499&lt;/D&gt;&lt;D xsi:type="xsd:double"&gt;1.03055&lt;/D&gt;&lt;D xsi:type="xsd:double"&gt;1.0300499&lt;/D&gt;&lt;D xsi:type="xsd:double"&gt;1.0301&lt;/D&gt;&lt;D xsi:type="xsd:double"&gt;1.04005&lt;/D&gt;&lt;D xsi:type="xsd:double"&gt;1.04005&lt;/D&gt;&lt;D xsi:type="xsd:double"&gt;1.04195&lt;/D&gt;&lt;D xsi:type="xsd:double"&gt;1.03975&lt;/D&gt;&lt;D xsi:type="xsd:double"&gt;1.0518&lt;/D&gt;&lt;D xsi:type="xsd:double"&gt;1.0498999&lt;/D&gt;&lt;D xsi:type="xsd:double"&gt;1.04245&lt;/D&gt;&lt;D xsi:type="xsd:double"&gt;1.042&lt;/D&gt;&lt;D xsi:type="xsd:double"&gt;1.04315&lt;/D&gt;&lt;D xsi:type="xsd:double"&gt;1.03955&lt;/D&gt;&lt;D xsi:type="xsd:double"&gt;1.03145&lt;/D&gt;&lt;D xsi:type="xsd:double"&gt;1.0380499&lt;/D&gt;&lt;D xsi:type="xsd:double"&gt;1.04215&lt;/D&gt;&lt;D xsi:type="xsd:double"&gt;1.03695&lt;/D&gt;&lt;D xsi:type="xsd:double"&gt;1.03445&lt;/D&gt;&lt;D xsi:type="xsd:double"&gt;1.03155&lt;/D&gt;&lt;D xsi:type="xsd:double"&gt;1.0341&lt;/D&gt;&lt;D xsi:type="xsd:double"&gt;1.0373499&lt;/D&gt;&lt;D xsi:type="xsd:double"&gt;1.04335&lt;/D&gt;&lt;D xsi:type="xsd:double"&gt;1.0508499&lt;/D&gt;&lt;D xsi:type="xsd:double"&gt;1.04795&lt;/D&gt;&lt;D xsi:type="xsd:double"&gt;1.0467&lt;/D&gt;&lt;D xsi:type="xsd:double"&gt;1.0424&lt;/D&gt;&lt;D xsi:type="xsd:double"&gt;1.04745&lt;/D&gt;&lt;D xsi:type="xsd:double"&gt;1.0455&lt;/D&gt;&lt;D xsi:type="xsd:double"&gt;1.0469&lt;/D&gt;&lt;D xsi:type="xsd:double"&gt;1.0498&lt;/D&gt;&lt;D xsi:type="xsd:double"&gt;1.05065&lt;/D&gt;&lt;D xsi:type="xsd:double"&gt;1.0412999&lt;/D&gt;&lt;D xsi:type="xsd:double"&gt;1.0400001&lt;/D&gt;&lt;D xsi:type="xsd:double"&gt;1.04855&lt;/D&gt;&lt;D xsi:type="xsd:double"&gt;1.05275&lt;/D&gt;&lt;D xsi:type="xsd:double"&gt;1.0764&lt;/D&gt;&lt;D xsi:type="xsd:double"&gt;1.0818&lt;/D&gt;&lt;D xsi:type="xsd:double"&gt;1.087&lt;/D&gt;&lt;D xsi:type="xsd:double"&gt;1.08375&lt;/D&gt;&lt;D xsi:type="xsd:double"&gt;1.0927&lt;/D&gt;&lt;D xsi:type="xsd:double"&gt;1.0921999&lt;/D&gt;&lt;D xsi:type="xsd:double"&gt;1.0858&lt;/D&gt;&lt;D xsi:type="xsd:double"&gt;1.08725&lt;/D&gt;&lt;D xsi:type="xsd:double"&gt;1.09215&lt;/D&gt;&lt;D xsi:type="xsd:double"&gt;1.0927&lt;/D&gt;&lt;D xsi:type="xsd:double"&gt;1.0877&lt;/D&gt;&lt;D xsi:type="xsd:double"&gt;1.0847&lt;/D&gt;&lt;D xsi:type="xsd:double"&gt;1.0809&lt;/D&gt;&lt;D xsi:type="xsd:double"&gt;1.0794001&lt;/D&gt;&lt;D xsi:type="xsd:double"&gt;1.08005&lt;/D&gt;&lt;D xsi:type="xsd:double"&gt;1.0782&lt;/D&gt;&lt;D xsi:type="xsd:double"&gt;1.0798&lt;/D&gt;&lt;D xsi:type="xsd:double"&gt;1.0823&lt;/D&gt;&lt;D xsi:type="xsd:double"&gt;1.0802&lt;/D&gt;&lt;D xsi:type="xsd:double"&gt;1.08105&lt;/D&gt;&lt;D xsi:type="xsd:double"&gt;1.08565&lt;/D&gt;&lt;D xsi:type="xsd:double"&gt;1.11185&lt;/D&gt;&lt;D xsi:type="xsd:double"&gt;1.09885&lt;/D&gt;&lt;D xsi:type="xsd:double"&gt;1.09225&lt;/D&gt;&lt;D xsi:type="xsd:double"&gt;1.0911&lt;/D&gt;&lt;D xsi:type="xsd:double"&gt;1.10385&lt;/D&gt;&lt;D xsi:type="xsd:double"&gt;1.11805&lt;/D&gt;&lt;D xsi:type="xsd:double"&gt;1.13385&lt;/D&gt;&lt;D xsi:type="xsd:double"&gt;1.13675&lt;/D&gt;&lt;D xsi:type="xsd:double"&gt;1.1328&lt;/D&gt;&lt;D xsi:type="xsd:double"&gt;1.13825&lt;/D&gt;&lt;D xsi:type="xsd:double"&gt;1.1350499&lt;/D&gt;&lt;D xsi:type="xsd:double"&gt;1.1350459&lt;/D&gt;&lt;D xsi:type="xsd:double"&gt;1.14985&lt;/D&gt;&lt;D xsi:type="xsd:double"&gt;1.1478&lt;/D&gt;&lt;D xsi:type="xsd:double"&gt;1.135&lt;/D&gt;&lt;D xsi:type="xsd:double"&gt;1.13735&lt;/D&gt;&lt;D xsi:type="xsd:double"&gt;1.13685&lt;/D&gt;&lt;D xsi:type="xsd:double"&gt;1.1379&lt;/D&gt;&lt;D xsi:type="xsd:double"&gt;1.13835&lt;/D&gt;&lt;D xsi:type="xsd:double"&gt;1.13675&lt;/D&gt;&lt;D xsi:type="xsd:double"&gt;1.12815&lt;/D&gt;&lt;D xsi:type="xsd:double"&gt;1.1369&lt;/D&gt;&lt;D xsi:type="xsd:double"&gt;1.13395&lt;/D&gt;&lt;D xsi:type="xsd:double"&gt;1.13425&lt;/D&gt;&lt;D xsi:type="xsd:double"&gt;1.13675&lt;/D&gt;&lt;D xsi:type="xsd:double"&gt;1.1277499&lt;/D&gt;&lt;D xsi:type="xsd:double"&gt;1.12685&lt;/D&gt;&lt;D xsi:type="xsd:double"&gt;1.1112&lt;/D&gt;&lt;D xsi:type="xsd:double"&gt;1.11625&lt;/D&gt;&lt;D xsi:type="xsd:double"&gt;1.12135&lt;/D&gt;&lt;D xsi:type="xsd:double"&gt;1.1187&lt;/D&gt;&lt;D xsi:type="xsd:double"&gt;1.11555&lt;/D&gt;&lt;D xsi:type="xsd:double"&gt;1.12535&lt;/D&gt;&lt;D xsi:type="xsd:double"&gt;1.12685&lt;/D&gt;&lt;D xsi:type="xsd:double"&gt;1.1341&lt;/D&gt;&lt;D xsi:type="xsd:double"&gt;1.1278499&lt;/D&gt;&lt;D xsi:type="xsd:double"&gt;1.13445&lt;/D&gt;&lt;D xsi:type="xsd:double"&gt;1.13845&lt;/D&gt;&lt;D xsi:type="xsd:double"&gt;1.13415&lt;/D&gt;&lt;D xsi:type="xsd:double"&gt;1.1302&lt;/D&gt;&lt;D xsi:type="xsd:double"&gt;1.1350499&lt;/D&gt;&lt;D xsi:type="xsd:double"&gt;1.13525&lt;/D&gt;&lt;D xsi:type="xsd:double"&gt;1.1435499&lt;/D&gt;&lt;D xsi:type="xsd:double"&gt;1.1392499&lt;/D&gt;&lt;D xsi:type="xsd:double"&gt;1.14335&lt;/D&gt;&lt;D xsi:type="xsd:double"&gt;1.14575&lt;/D&gt;&lt;D xsi:type="xsd:double"&gt;1.1389&lt;/D&gt;&lt;D xsi:type="xsd:double"&gt;1.1408501&lt;/D&gt;&lt;D xsi:type="xsd:double"&gt;1.1425999&lt;/D&gt;&lt;D xsi:type="xsd:double"&gt;1.14825&lt;/D&gt;&lt;D xsi:type="xsd:double"&gt;1.15825&lt;/D&gt;&lt;D xsi:type="xsd:double"&gt;1.15435&lt;/D&gt;&lt;D xsi:type="xsd:double"&gt;1.1592&lt;/D&gt;&lt;D xsi:type="xsd:double"&gt;1.1527&lt;/D&gt;&lt;D xsi:type="xsd:double"&gt;1.15085&lt;/D&gt;&lt;D xsi:type="xsd:double"&gt;1.14685&lt;/D&gt;&lt;D xsi:type="xsd:double"&gt;1.1515&lt;/D&gt;&lt;D xsi:type="xsd:double"&gt;1.15305&lt;/D&gt;&lt;D xsi:type="xsd:double"&gt;1.1617&lt;/D&gt;&lt;D xsi:type="xsd:double"&gt;1.1621001&lt;/D&gt;&lt;D xsi:type="xsd:double"&gt;1.1708&lt;/D&gt;&lt;D xsi:type="xsd:double"&gt;1.1718&lt;/D&gt;&lt;D xsi:type="xsd:double"&gt;1.17385&lt;/D&gt;&lt;D xsi:type="xsd:double"&gt;1.17785&lt;/D&gt;&lt;D xsi:type="xsd:double"&gt;1.17675&lt;/D&gt;&lt;D xsi:type="xsd:double"&gt;1.17525&lt;/D&gt;&lt;D xsi:type="xsd:double"&gt;1.17785&lt;/D&gt;&lt;D xsi:type="xsd:double"&gt;1.17385&lt;/D&gt;&lt;D xsi:type="xsd:double"&gt;1.1693&lt;/D&gt;&lt;D xsi:type="xsd:double"&gt;1.17155&lt;/D&gt;&lt;D xsi:type="xsd:double"&gt;1.16805&lt;/D&gt;&lt;D xsi:type="xsd:double"&gt;1.16935&lt;/D&gt;&lt;D xsi:type="xsd:double"&gt;1.16835&lt;/D&gt;&lt;D xsi:type="xsd:double"&gt;1.1618&lt;/D&gt;&lt;D xsi:type="xsd:double"&gt;1.1596501&lt;/D&gt;&lt;D xsi:type="xsd:double"&gt;1.15875&lt;/D&gt;&lt;D xsi:type="xsd:double"&gt;1.16475&lt;/D&gt;&lt;D xsi:type="xsd:double"&gt;1.16975&lt;/D&gt;&lt;D xsi:type="xsd:double"&gt;1.17235&lt;/D&gt;&lt;D xsi:type="xsd:double"&gt;1.1734&lt;/D&gt;&lt;D xsi:type="xsd:double"&gt;1.17665&lt;/D&gt;&lt;D xsi:type="xsd:double"&gt;1.17305&lt;/D&gt;&lt;D xsi:type="xsd:double"&gt;1.16375&lt;/D&gt;&lt;D xsi:type="xsd:double"&gt;1.1522499&lt;/D&gt;&lt;D xsi:type="xsd:double"&gt;1.148&lt;/D&gt;&lt;D xsi:type="xsd:double"&gt;1.14455&lt;/D&gt;&lt;/FQL&gt;&lt;FQL&gt;&lt;Q&gt;^P_EXCH_RATE(UAH,USD,45658,45869)&lt;/Q&gt;&lt;R&gt;152&lt;/R&gt;&lt;C&gt;1&lt;/C&gt;&lt;D xsi:type="xsd:double"&gt;0.023803845&lt;/D&gt;&lt;D xsi:type="xsd:double"&gt;0.023761436&lt;/D&gt;&lt;D xsi:type="xsd:double"&gt;0.023719165&lt;/D&gt;&lt;D xsi:type="xsd:double"&gt;0.02367144&lt;/D&gt;&lt;D xsi:type="xsd:double"&gt;0.023661638&lt;/D&gt;&lt;D xsi:type="xsd:double"&gt;0.023623906&lt;/D&gt;&lt;D xsi:type="xsd:double"&gt;0.023586713&lt;/D&gt;&lt;D xsi:type="xsd:double"&gt;0.023660239&lt;/D&gt;&lt;D xsi:type="xsd:double"&gt;0.023609964&lt;/D&gt;&lt;D xsi:type="xsd:double"&gt;0.023651846&lt;/D&gt;&lt;D xsi:type="xsd:double"&gt;0.023696681&lt;/D&gt;&lt;D xsi:type="xsd:double"&gt;0.023730423&lt;/D&gt;&lt;D xsi:type="xsd:double"&gt;0.023744509&lt;/D&gt;&lt;D xsi:type="xsd:double"&gt;0.0237023&lt;/D&gt;&lt;D xsi:type="xsd:double"&gt;0.02374169&lt;/D&gt;&lt;D xsi:type="xsd:double"&gt;0.02379253&lt;/D&gt;&lt;D xsi:type="xsd:double"&gt;0.023820868&lt;/D&gt;&lt;D xsi:type="xsd:double"&gt;0.023866348&lt;/D&gt;&lt;D xsi:type="xsd:double"&gt;0.023809524&lt;/D&gt;&lt;D xsi:type="xsd:double"&gt;0.023826541&lt;/D&gt;&lt;D xsi:type="xsd:double"&gt;0.023864783&lt;/D&gt;&lt;D xsi:type="xsd:double"&gt;0.023912003&lt;/D&gt;&lt;D xsi:type="xsd:double"&gt;0.023986569&lt;/D&gt;&lt;D xsi:type="xsd:double"&gt;0.023975067&lt;/D&gt;&lt;D xsi:type="xsd:double"&gt;0.023963576&lt;/D&gt;&lt;D xsi:type="xsd:double"&gt;0.024024025&lt;/D&gt;&lt;D xsi:type="xsd:double"&gt;0.024136983&lt;/D&gt;&lt;D xsi:type="xsd:double"&gt;0.024081878&lt;/D&gt;&lt;D xsi:type="xsd:double"&gt;0.024032395&lt;/D&gt;&lt;D xsi:type="xsd:double"&gt;0.02395353&lt;/D&gt;&lt;D xsi:type="xsd:double"&gt;0.023909144&lt;/D&gt;&lt;D xsi:type="xsd:double"&gt;0.023932032&lt;/D&gt;&lt;D xsi:type="xsd:double"&gt;0.024042074&lt;/D&gt;&lt;D xsi:type="xsd:double"&gt;0.024067389&lt;/D&gt;&lt;D xsi:type="xsd:double"&gt;0.024016524&lt;/D&gt;&lt;D xsi:type="xsd:double"&gt;0.023966448&lt;/D&gt;&lt;D xsi:type="xsd:double"&gt;0.02400528&lt;/D&gt;&lt;D xsi:type="xsd:double"&gt;0.024024025&lt;/D&gt;&lt;D xsi:type="xsd:double"&gt;0.023946362&lt;/D&gt;&lt;D xsi:type="xsd:double"&gt;0.023952097&lt;/D&gt;&lt;D xsi:type="xsd:double"&gt;0.024006722&lt;/D&gt;&lt;D xsi:type="xsd:double"&gt;0.024067389&lt;/D&gt;&lt;D xsi:type="xsd:double"&gt;0.024067389&lt;/D&gt;&lt;D xsi:type="xsd:double"&gt;0.024047133&lt;/D&gt;&lt;D xsi:type="xsd:double"&gt;0.024084779&lt;/D&gt;&lt;D xsi:type="xsd:double"&gt;0.024154589&lt;/D&gt;&lt;D xsi:type="xsd:double"&gt;0.024183799&lt;/D&gt;&lt;D xsi:type="xsd:double"&gt;0.024242423&lt;/D&gt;&lt;D xsi:type="xsd:double"&gt;0.024180872&lt;/D&gt;&lt;D xsi:type="xsd:double"&gt;0.0241341&lt;/D&gt;&lt;D xsi:type="xsd:double"&gt;0.02407608&lt;/D&gt;&lt;D xsi:type="xsd:double"&gt;0.024086026&lt;/D&gt;&lt;D xsi:type="xsd:double"&gt;0.024122542&lt;/D&gt;&lt;D xsi:type="xsd:double"&gt;0.024058703&lt;/D&gt;&lt;D xsi:type="xsd:double"&gt;0.024052916&lt;/D&gt;&lt;D xsi:type="xsd:double"&gt;0.024058184&lt;/D&gt;&lt;D xsi:type="xsd:double"&gt;0.024070287&lt;/D&gt;&lt;D xsi:type="xsd:double"&gt;0.024061596&lt;/D&gt;&lt;D xsi:type="xsd:double"&gt;0.02400096&lt;/D&gt;&lt;D xsi:type="xsd:double"&gt;0.024018254&lt;/D&gt;&lt;D xsi:type="xsd:double"&gt;0.024061596&lt;/D&gt;&lt;D xsi:type="xsd:double"&gt;0.024089914&lt;/D&gt;&lt;D xsi:type="xsd:double"&gt;0.024116725&lt;/D&gt;&lt;D xsi:type="xsd:double"&gt;0.024113817&lt;/D&gt;&lt;D xsi:type="xsd:double"&gt;0.024186721&lt;/D&gt;&lt;D xsi:type="xsd:double"&gt;0.024186721&lt;/D&gt;&lt;D xsi:type="xsd:double"&gt;0.024213076&lt;/D&gt;&lt;D xsi:type="xsd:double"&gt;0.024307244&lt;/D&gt;&lt;D xsi:type="xsd:double"&gt;0.024324981&lt;/D&gt;&lt;D xsi:type="xsd:double"&gt;0.024283633&lt;/D&gt;&lt;D xsi:type="xsd:double"&gt;0.024096385&lt;/D&gt;&lt;D xsi:type="xsd:double"&gt;0.024140013&lt;/D&gt;&lt;D xsi:type="xsd:double"&gt;0.024185259&lt;/D&gt;&lt;D xsi:type="xsd:double"&gt;0.024213076&lt;/D&gt;&lt;D xsi:type="xsd:double"&gt;0.024283633&lt;/D&gt;&lt;D xsi:type="xsd:double"&gt;0.024208622&lt;/D&gt;&lt;D xsi:type="xsd:double"&gt;0.024142927&lt;/D&gt;&lt;D xsi:type="xsd:double"&gt;0.02414293&lt;/D&gt;&lt;D xsi:type="xsd:double"&gt;0.024148757&lt;/D&gt;&lt;D xsi:type="xsd:double"&gt;0.024035573&lt;/D&gt;&lt;D xsi:type="xsd:double"&gt;0.023946362&lt;/D&gt;&lt;D xsi:type="xsd:double"&gt;0.023972135&lt;/D&gt;&lt;D xsi:type="xsd:double"&gt;0.023916293&lt;/D&gt;&lt;D xsi:type="xsd:double"&gt;0.02399664&lt;/D&gt;&lt;D xsi:type="xsd:double"&gt;0.024058703&lt;/D&gt;&lt;D xsi:type="xsd:double"&gt;0.024103936&lt;/D&gt;&lt;D xsi:type="xsd:double"&gt;0.024103936&lt;/D&gt;&lt;D xsi:type="xsd:double"&gt;0.024103936&lt;/D&gt;&lt;D xsi:type="xsd:double"&gt;0.024071734&lt;/D&gt;&lt;D xsi:type="xsd:double"&gt;0.024122542&lt;/D&gt;&lt;D xsi:type="xsd:double"&gt;0.024116725&lt;/D&gt;&lt;D xsi:type="xsd:double"&gt;0.024068866&lt;/D&gt;&lt;D xsi:type="xsd:double"&gt;0.024067389&lt;/D&gt;&lt;D xsi:type="xsd:double"&gt;0.02409058&lt;/D&gt;&lt;D xsi:type="xsd:double"&gt;0.024070287&lt;/D&gt;&lt;D xsi:type="xsd:double"&gt;0.024103645&lt;/D&gt;&lt;D xsi:type="xsd:double"&gt;0.024113817&lt;/D&gt;&lt;D xsi:type="xsd:double"&gt;0.024081878&lt;/D&gt;&lt;D xsi:type="xsd:double"&gt;0.024096385&lt;/D&gt;&lt;D xsi:type="xsd:double"&gt;0.02409058&lt;/D&gt;&lt;D xsi:type="xsd:double"&gt;0.024115272&lt;/D&gt;&lt;D xsi:type="xsd:double"&gt;0.024095805&lt;/D&gt;&lt;D xsi:type="xsd:double"&gt;0.024084779&lt;/D&gt;&lt;D xsi:type="xsd:double"&gt;0.024009602&lt;/D&gt;&lt;D xsi:type="xsd:double"&gt;0.02401537&lt;/D&gt;&lt;D xsi:type="xsd:double"&gt;0.02407666&lt;/D&gt;&lt;D xsi:type="xsd:double"&gt;0.024084227&lt;/D&gt;&lt;D xsi:type="xsd:double"&gt;0.02407898&lt;/D&gt;&lt;D xsi:type="xsd:double"&gt;0.023989588&lt;/D&gt;&lt;D xsi:type="xsd:double"&gt;0.024064492&lt;/D&gt;&lt;D xsi:type="xsd:double"&gt;0.024068836&lt;/D&gt;&lt;D xsi:type="xsd:double"&gt;0.024139866&lt;/D&gt;&lt;D xsi:type="xsd:double"&gt;0.024139283&lt;/D&gt;&lt;D xsi:type="xsd:double"&gt;0.02407898&lt;/D&gt;&lt;D xsi:type="xsd:double"&gt;0.02407608&lt;/D&gt;&lt;D xsi:type="xsd:double"&gt;0.024058703&lt;/D&gt;&lt;D xsi:type="xsd:double"&gt;0.024128363&lt;/D&gt;&lt;D xsi:type="xsd:double"&gt;0.024108004&lt;/D&gt;&lt;D xsi:type="xsd:double"&gt;0.024024025&lt;/D&gt;&lt;D xsi:type="xsd:double"&gt;0.024055809&lt;/D&gt;&lt;D xsi:type="xsd:double"&gt;0.023977939&lt;/D&gt;&lt;D xsi:type="xsd:double"&gt;0.023899145&lt;/D&gt;&lt;D xsi:type="xsd:double"&gt;0.023846429&lt;/D&gt;&lt;D xsi:type="xsd:double"&gt;0.023854963&lt;/D&gt;&lt;D xsi:type="xsd:double"&gt;0.023940627&lt;/D&gt;&lt;D xsi:type="xsd:double"&gt;0.024019264&lt;/D&gt;&lt;D xsi:type="xsd:double"&gt;0.024061596&lt;/D&gt;&lt;D xsi:type="xsd:double"&gt;0.023966448&lt;/D&gt;&lt;D xsi:type="xsd:double"&gt;0.023980815&lt;/D&gt;&lt;D xsi:type="xsd:double"&gt;0.023883305&lt;/D&gt;&lt;D xsi:type="xsd:double"&gt;0.023952097&lt;/D&gt;&lt;D xsi:type="xsd:double"&gt;0.023940627&lt;/D&gt;&lt;D xsi:type="xsd:double"&gt;0.023963576&lt;/D&gt;&lt;D xsi:type="xsd:double"&gt;0.023894863&lt;/D&gt;&lt;D xsi:type="xsd:double"&gt;0.023923445&lt;/D&gt;&lt;D xsi:type="xsd:double"&gt;0.023923445&lt;/D&gt;&lt;D xsi:type="xsd:double"&gt;0.023897717&lt;/D&gt;&lt;D xsi:type="xsd:double"&gt;0.02392917&lt;/D&gt;&lt;D xsi:type="xsd:double"&gt;0.023917722&lt;/D&gt;&lt;D xsi:type="xsd:double"&gt;0.023914864&lt;/D&gt;&lt;D xsi:type="xsd:double"&gt;0.023866348&lt;/D&gt;&lt;D xsi:type="xsd:double"&gt;0.023952097&lt;/D&gt;&lt;D xsi:type="xsd:double"&gt;0.023943493&lt;/D&gt;&lt;D xsi:type="xsd:double"&gt;0.023946362&lt;/D&gt;&lt;D xsi:type="xsd:double"&gt;0.023946362&lt;/D&gt;&lt;D xsi:type="xsd:double"&gt;0.023927739&lt;/D&gt;&lt;D xsi:type="xsd:double"&gt;0.023943493&lt;/D&gt;&lt;D xsi:type="xsd:double"&gt;0.023937762&lt;/D&gt;&lt;D xsi:type="xsd:double"&gt;0.023946362&lt;/D&gt;&lt;D xsi:type="xsd:double"&gt;0.023923445&lt;/D&gt;&lt;D xsi:type="xsd:double"&gt;0.023980815&lt;/D&gt;&lt;D xsi:type="xsd:double"&gt;0.023961393&lt;/D&gt;&lt;/FQL&gt;&lt;FQL&gt;&lt;Q&gt;^P_EXCH_RATE(,USD,,)&lt;/Q&gt;&lt;R&gt;0&lt;/R&gt;&lt;C&gt;0&lt;/C&gt;&lt;/FQL&gt;&lt;FQL&gt;&lt;Q&gt;^P_EXCH_RATE(UAH,UAH,45658,45869)&lt;/Q&gt;&lt;R&gt;152&lt;/R&gt;&lt;C&gt;1&lt;/C&gt;&lt;D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xsi:type="xsd:double"&gt;1&lt;/D&gt;&lt;D xsi:type="xsd:double"&gt;1&lt;/D&gt;&lt;/FQL&gt;&lt;FQL&gt;&lt;Q&gt;^P_EXCH_RATE(USD,UAH,45658,45869)&lt;/Q&gt;&lt;R&gt;152&lt;/R&gt;&lt;C&gt;1&lt;/C&gt;&lt;D xsi:type="xsd:double"&gt;42.01002&lt;/D&gt;&lt;D xsi:type="xsd:double"&gt;42.085&lt;/D&gt;&lt;D xsi:type="xsd:double"&gt;42.16&lt;/D&gt;&lt;D xsi:type="xsd:double"&gt;42.245&lt;/D&gt;&lt;D xsi:type="xsd:double"&gt;42.2625&lt;/D&gt;&lt;D xsi:type="xsd:double"&gt;42.33&lt;/D&gt;&lt;D xsi:type="xsd:double"&gt;42.39675&lt;/D&gt;&lt;D xsi:type="xsd:double"&gt;42.265&lt;/D&gt;&lt;D xsi:type="xsd:double"&gt;42.355&lt;/D&gt;&lt;D xsi:type="xsd:double"&gt;42.28&lt;/D&gt;&lt;D xsi:type="xsd:double"&gt;42.2&lt;/D&gt;&lt;D xsi:type="xsd:double"&gt;42.14&lt;/D&gt;&lt;D xsi:type="xsd:double"&gt;42.115&lt;/D&gt;&lt;D xsi:type="xsd:double"&gt;42.19&lt;/D&gt;&lt;D xsi:type="xsd:double"&gt;42.12&lt;/D&gt;&lt;D xsi:type="xsd:double"&gt;42.03&lt;/D&gt;&lt;D xsi:type="xsd:double"&gt;41.98&lt;/D&gt;&lt;D xsi:type="xsd:double"&gt;41.9&lt;/D&gt;&lt;D xsi:type="xsd:double"&gt;42&lt;/D&gt;&lt;D xsi:type="xsd:double"&gt;41.97&lt;/D&gt;&lt;D xsi:type="xsd:double"&gt;41.90275&lt;/D&gt;&lt;D xsi:type="xsd:double"&gt;41.82&lt;/D&gt;&lt;D xsi:type="xsd:double"&gt;41.69&lt;/D&gt;&lt;D xsi:type="xsd:double"&gt;41.71&lt;/D&gt;&lt;D xsi:type="xsd:double"&gt;41.73&lt;/D&gt;&lt;D xsi:type="xsd:double"&gt;41.625&lt;/D&gt;&lt;D xsi:type="xsd:double"&gt;41.4302&lt;/D&gt;&lt;D xsi:type="xsd:double"&gt;41.525&lt;/D&gt;&lt;D xsi:type="xsd:double"&gt;41.6105&lt;/D&gt;&lt;D xsi:type="xsd:double"&gt;41.7475&lt;/D&gt;&lt;D xsi:type="xsd:double"&gt;41.825&lt;/D&gt;&lt;D xsi:type="xsd:double"&gt;41.785&lt;/D&gt;&lt;D xsi:type="xsd:double"&gt;41.59375&lt;/D&gt;&lt;D xsi:type="xsd:double"&gt;41.55&lt;/D&gt;&lt;D xsi:type="xsd:double"&gt;41.638&lt;/D&gt;&lt;D xsi:type="xsd:double"&gt;41.725&lt;/D&gt;&lt;D xsi:type="xsd:double"&gt;41.6575&lt;/D&gt;&lt;D xsi:type="xsd:double"&gt;41.625&lt;/D&gt;&lt;D xsi:type="xsd:double"&gt;41.76&lt;/D&gt;&lt;D xsi:type="xsd:double"&gt;41.75&lt;/D&gt;&lt;D xsi:type="xsd:double"&gt;41.655&lt;/D&gt;&lt;D xsi:type="xsd:double"&gt;41.55&lt;/D&gt;&lt;D xsi:type="xsd:double"&gt;41.55&lt;/D&gt;&lt;D xsi:type="xsd:double"&gt;41.585&lt;/D&gt;&lt;D xsi:type="xsd:double"&gt;41.52&lt;/D&gt;&lt;D xsi:type="xsd:double"&gt;41.4&lt;/D&gt;&lt;D xsi:type="xsd:double"&gt;41.35&lt;/D&gt;&lt;D xsi:type="xsd:double"&gt;41.25&lt;/D&gt;&lt;D xsi:type="xsd:double"&gt;41.355&lt;/D&gt;&lt;D xsi:type="xsd:double"&gt;41.43515&lt;/D&gt;&lt;D xsi:type="xsd:double"&gt;41.535&lt;/D&gt;&lt;D xsi:type="xsd:double"&gt;41.51785&lt;/D&gt;&lt;D xsi:type="xsd:double"&gt;41.455&lt;/D&gt;&lt;D xsi:type="xsd:double"&gt;41.565&lt;/D&gt;&lt;D xsi:type="xsd:double"&gt;41.575&lt;/D&gt;&lt;D xsi:type="xsd:double"&gt;41.5659&lt;/D&gt;&lt;D xsi:type="xsd:double"&gt;41.545&lt;/D&gt;&lt;D xsi:type="xsd:double"&gt;41.56&lt;/D&gt;&lt;D xsi:type="xsd:double"&gt;41.665&lt;/D&gt;&lt;D xsi:type="xsd:double"&gt;41.635&lt;/D&gt;&lt;D xsi:type="xsd:double"&gt;41.56&lt;/D&gt;&lt;D xsi:type="xsd:double"&gt;41.51115&lt;/D&gt;&lt;D xsi:type="xsd:double"&gt;41.465&lt;/D&gt;&lt;D xsi:type="xsd:double"&gt;41.47&lt;/D&gt;&lt;D xsi:type="xsd:double"&gt;41.345&lt;/D&gt;&lt;D xsi:type="xsd:double"&gt;41.345&lt;/D&gt;&lt;D xsi:type="xsd:double"&gt;41.3&lt;/D&gt;&lt;D xsi:type="xsd:double"&gt;41.14&lt;/D&gt;&lt;D xsi:type="xsd:double"&gt;41.11&lt;/D&gt;&lt;D xsi:type="xsd:double"&gt;41.18&lt;/D&gt;&lt;D xsi:type="xsd:double"&gt;41.5&lt;/D&gt;&lt;D xsi:type="xsd:double"&gt;41.425&lt;/D&gt;&lt;D xsi:type="xsd:double"&gt;41.3475&lt;/D&gt;&lt;D xsi:type="xsd:double"&gt;41.3&lt;/D&gt;&lt;D xsi:type="xsd:double"&gt;41.18&lt;/D&gt;&lt;D xsi:type="xsd:double"&gt;41.3076&lt;/D&gt;&lt;D xsi:type="xsd:double"&gt;41.42&lt;/D&gt;&lt;D xsi:type="xsd:double"&gt;41.419994&lt;/D&gt;&lt;D xsi:type="xsd:double"&gt;41.41&lt;/D&gt;&lt;D xsi:type="xsd:double"&gt;41.605&lt;/D&gt;&lt;D xsi:type="xsd:double"&gt;41.76&lt;/D&gt;&lt;D xsi:type="xsd:double"&gt;41.7151&lt;/D&gt;&lt;D xsi:type="xsd:double"&gt;41.8125&lt;/D&gt;&lt;D xsi:type="xsd:double"&gt;41.6725&lt;/D&gt;&lt;D xsi:type="xsd:double"&gt;41.565&lt;/D&gt;&lt;D xsi:type="xsd:double"&gt;41.487&lt;/D&gt;&lt;D xsi:type="xsd:double"&gt;41.487&lt;/D&gt;&lt;D xsi:type="xsd:double"&gt;41.487&lt;/D&gt;&lt;D xsi:type="xsd:double"&gt;41.5425&lt;/D&gt;&lt;D xsi:type="xsd:double"&gt;41.455&lt;/D&gt;&lt;D xsi:type="xsd:double"&gt;41.465&lt;/D&gt;&lt;D xsi:type="xsd:double"&gt;41.54745&lt;/D&gt;&lt;D xsi:type="xsd:double"&gt;41.55&lt;/D&gt;&lt;D xsi:type="xsd:double"&gt;41.51&lt;/D&gt;&lt;D xsi:type="xsd:double"&gt;41.545&lt;/D&gt;&lt;D xsi:type="xsd:double"&gt;41.4875&lt;/D&gt;&lt;D xsi:type="xsd:double"&gt;41.47&lt;/D&gt;&lt;D xsi:type="xsd:double"&gt;41.525&lt;/D&gt;&lt;D xsi:type="xsd:double"&gt;41.5&lt;/D&gt;&lt;D xsi:type="xsd:double"&gt;41.51&lt;/D&gt;&lt;D xsi:type="xsd:double"&gt;41.4675&lt;/D&gt;&lt;D xsi:type="xsd:double"&gt;41.501&lt;/D&gt;&lt;D xsi:type="xsd:double"&gt;41.52&lt;/D&gt;&lt;D xsi:type="xsd:double"&gt;41.65&lt;/D&gt;&lt;D xsi:type="xsd:double"&gt;41.64&lt;/D&gt;&lt;D xsi:type="xsd:double"&gt;41.534&lt;/D&gt;&lt;D xsi:type="xsd:double"&gt;41.52095&lt;/D&gt;&lt;D xsi:type="xsd:double"&gt;41.53&lt;/D&gt;&lt;D xsi:type="xsd:double"&gt;41.68475&lt;/D&gt;&lt;D xsi:type="xsd:double"&gt;41.555&lt;/D&gt;&lt;D xsi:type="xsd:double"&gt;41.5475&lt;/D&gt;&lt;D xsi:type="xsd:double"&gt;41.42525&lt;/D&gt;&lt;D xsi:type="xsd:double"&gt;41.42625&lt;/D&gt;&lt;D xsi:type="xsd:double"&gt;41.53&lt;/D&gt;&lt;D xsi:type="xsd:double"&gt;41.535&lt;/D&gt;&lt;D xsi:type="xsd:double"&gt;41.565&lt;/D&gt;&lt;D xsi:type="xsd:double"&gt;41.445&lt;/D&gt;&lt;D xsi:type="xsd:double"&gt;41.48&lt;/D&gt;&lt;D xsi:type="xsd:double"&gt;41.625&lt;/D&gt;&lt;D xsi:type="xsd:double"&gt;41.57&lt;/D&gt;&lt;D xsi:type="xsd:double"&gt;41.705&lt;/D&gt;&lt;D xsi:type="xsd:double"&gt;41.8425&lt;/D&gt;&lt;D xsi:type="xsd:double"&gt;41.935&lt;/D&gt;&lt;D xsi:type="xsd:double"&gt;41.92&lt;/D&gt;&lt;D xsi:type="xsd:double"&gt;41.77&lt;/D&gt;&lt;D xsi:type="xsd:double"&gt;41.63325&lt;/D&gt;&lt;D xsi:type="xsd:double"&gt;41.56&lt;/D&gt;&lt;D xsi:type="xsd:double"&gt;41.725&lt;/D&gt;&lt;D xsi:type="xsd:double"&gt;41.7&lt;/D&gt;&lt;D xsi:type="xsd:double"&gt;41.87025&lt;/D&gt;&lt;D xsi:type="xsd:double"&gt;41.75&lt;/D&gt;&lt;D xsi:type="xsd:double"&gt;41.77&lt;/D&gt;&lt;D xsi:type="xsd:double"&gt;41.73&lt;/D&gt;&lt;D xsi:type="xsd:double"&gt;41.85&lt;/D&gt;&lt;D xsi:type="xsd:double"&gt;41.8&lt;/D&gt;&lt;D xsi:type="xsd:double"&gt;41.8&lt;/D&gt;&lt;D xsi:type="xsd:double"&gt;41.845&lt;/D&gt;&lt;D xsi:type="xsd:double"&gt;41.79&lt;/D&gt;&lt;D xsi:type="xsd:double"&gt;41.81&lt;/D&gt;&lt;D xsi:type="xsd:double"&gt;41.815&lt;/D&gt;&lt;D xsi:type="xsd:double"&gt;41.9&lt;/D&gt;&lt;D xsi:type="xsd:double"&gt;41.75&lt;/D&gt;&lt;D xsi:type="xsd:double"&gt;41.765&lt;/D&gt;&lt;D xsi:type="xsd:double"&gt;41.76&lt;/D&gt;&lt;D xsi:type="xsd:double"&gt;41.76&lt;/D&gt;&lt;D xsi:type="xsd:double"&gt;41.7925&lt;/D&gt;&lt;D xsi:type="xsd:double"&gt;41.765&lt;/D&gt;&lt;D xsi:type="xsd:double"&gt;41.775&lt;/D&gt;&lt;D xsi:type="xsd:double"&gt;41.76&lt;/D&gt;&lt;D xsi:type="xsd:double"&gt;41.8&lt;/D&gt;&lt;D xsi:type="xsd:double"&gt;41.7&lt;/D&gt;&lt;D xsi:type="xsd:double"&gt;41.7338&lt;/D&gt;&lt;/FQL&gt;&lt;FQL&gt;&lt;Q&gt;HTWS-GB^P_DATE(45658,45869,D,"DATEI")&lt;/Q&gt;&lt;R&gt;152&lt;/R&gt;&lt;C&gt;1&lt;/C&gt;&lt;D xsi:type="xsd:string"&gt;01/01/2025&lt;/D&gt;&lt;D xsi:type="xsd:string"&gt;02/01/2025&lt;/D&gt;&lt;D xsi:type="xsd:string"&gt;03/01/2025&lt;/D&gt;&lt;D xsi:type="xsd:string"&gt;06/01/2025&lt;/D&gt;&lt;D xsi:type="xsd:string"&gt;07/01/2025&lt;/D&gt;&lt;D xsi:type="xsd:string"&gt;08/01/2025&lt;/D&gt;&lt;D xsi:type="xsd:string"&gt;09/01/2025&lt;/D&gt;&lt;D xsi:type="xsd:string"&gt;10/01/2025&lt;/D&gt;&lt;D xsi:type="xsd:string"&gt;13/01/2025&lt;/D&gt;&lt;D xsi:type="xsd:string"&gt;14/01/2025&lt;/D&gt;&lt;D xsi:type="xsd:string"&gt;15/01/2025&lt;/D&gt;&lt;D xsi:type="xsd:string"&gt;16/01/2025&lt;/D&gt;&lt;D xsi:type="xsd:string"&gt;17/01/2025&lt;/D&gt;&lt;D xsi:type="xsd:string"&gt;20/01/2025&lt;/D&gt;&lt;D xsi:type="xsd:string"&gt;21/01/2025&lt;/D&gt;&lt;D xsi:type="xsd:string"&gt;22/01/2025&lt;/D&gt;&lt;D xsi:type="xsd:string"&gt;23/01/2025&lt;/D&gt;&lt;D xsi:type="xsd:string"&gt;24/01/2025&lt;/D&gt;&lt;D xsi:type="xsd:string"&gt;27/01/2025&lt;/D&gt;&lt;D xsi:type="xsd:string"&gt;28/01/2025&lt;/D&gt;&lt;D xsi:type="xsd:string"&gt;29/01/2025&lt;/D&gt;&lt;D xsi:type="xsd:string"&gt;30/01/2025&lt;/D&gt;&lt;D xsi:type="xsd:string"&gt;31/01/2025&lt;/D&gt;&lt;D xsi:type="xsd:string"&gt;03/02/2025&lt;/D&gt;&lt;D xsi:type="xsd:string"&gt;04/02/2025&lt;/D&gt;&lt;D xsi:type="xsd:string"&gt;05/02/2025&lt;/D&gt;&lt;D xsi:type="xsd:string"&gt;06/02/2025&lt;/D&gt;&lt;D xsi:type="xsd:string"&gt;07/02/2025&lt;/D&gt;&lt;D xsi:type="xsd:string"&gt;10/02/2025&lt;/D&gt;&lt;D xsi:type="xsd:string"&gt;11/02/2025&lt;/D&gt;&lt;D xsi:type="xsd:string"&gt;12/02/2025&lt;/D&gt;&lt;D xsi:type="xsd:string"&gt;13/02/2025&lt;/D&gt;&lt;D xsi:type="xsd:string"&gt;14/02/2025&lt;/D&gt;&lt;D xsi:type="xsd:string"&gt;17/02/2025&lt;/D&gt;&lt;D xsi:type="xsd:string"&gt;18/02/2025&lt;/D&gt;&lt;D xsi:type="xsd:string"&gt;19/02/2025&lt;/D&gt;&lt;D xsi:type="xsd:string"&gt;20/02/2025&lt;/D&gt;&lt;D xsi:type="xsd:string"&gt;21/02/2025&lt;/D&gt;&lt;D xsi:type="xsd:string"&gt;24/02/2025&lt;/D&gt;&lt;D xsi:type="xsd:string"&gt;25/02/2025&lt;/D&gt;&lt;D xsi:type="xsd:string"&gt;26/02/2025&lt;/D&gt;&lt;D xsi:type="xsd:string"&gt;27/02/2025&lt;/D&gt;&lt;D xsi:type="xsd:string"&gt;28/02/2025&lt;/D&gt;&lt;D xsi:type="xsd:string"&gt;03/03/2025&lt;/D&gt;&lt;D xsi:type="xsd:string"&gt;04/03/2025&lt;/D&gt;&lt;D xsi:type="xsd:string"&gt;05/03/2025&lt;/D&gt;&lt;D xsi:type="xsd:string"&gt;06/03/2025&lt;/D&gt;&lt;D xsi:type="xsd:string"&gt;07/03/2025&lt;/D&gt;&lt;D xsi:type="xsd:string"&gt;10/03/2025&lt;/D&gt;&lt;D xsi:type="xsd:string"&gt;11/03/2025&lt;/D&gt;&lt;D xsi:type="xsd:string"&gt;12/03/2025&lt;/D&gt;&lt;D xsi:type="xsd:string"&gt;13/03/2025&lt;/D&gt;&lt;D xsi:type="xsd:string"&gt;14/03/2025&lt;/D&gt;&lt;D xsi:type="xsd:string"&gt;17/03/2025&lt;/D&gt;&lt;D xsi:type="xsd:string"&gt;18/03/2025&lt;/D&gt;&lt;D xsi:type="xsd:string"&gt;19/03/2025&lt;/D&gt;&lt;D xsi:type="xsd:string"&gt;20/03/2025&lt;/D&gt;&lt;D xsi:type="xsd:string"&gt;21/03/2025&lt;/D&gt;&lt;D xsi:type="xsd:string"&gt;24/03/2025&lt;/D&gt;&lt;D xsi:type="xsd:string"&gt;25/03/2025&lt;/D&gt;&lt;D xsi:type="xsd:string"&gt;26/03/2025&lt;/D&gt;&lt;D xsi:type="xsd:string"&gt;27/03/2025&lt;/D&gt;&lt;D xsi:type="xsd:string"&gt;28/03/2025&lt;/D&gt;&lt;D xsi:type="xsd:string"&gt;31/03/2025&lt;/D&gt;&lt;D xsi:type="xsd:string"&gt;01/04/2025&lt;/D&gt;&lt;D xsi:type="xsd:string"&gt;02/04/2025&lt;/D&gt;&lt;D xsi:type="xsd:string"&gt;03/04/2025&lt;/D&gt;&lt;D xsi:type="xsd:string"&gt;04/04/2025&lt;/D&gt;&lt;D xsi:type="xsd:string"&gt;07/04/2025&lt;/D&gt;&lt;D xsi:type="xsd:string"&gt;08/04/2025&lt;/D&gt;&lt;D xsi:type="xsd:string"&gt;09/04/2025&lt;/D&gt;&lt;D xsi:type="xsd:string"&gt;10/04/2025&lt;/D&gt;&lt;D xsi:type="xsd:string"&gt;11/04/2025&lt;/D&gt;&lt;D xsi:type="xsd:string"&gt;14/04/2025&lt;/D&gt;&lt;D xsi:type="xsd:string"&gt;15/04/2025&lt;/D&gt;&lt;D xsi:type="xsd:string"&gt;16/04/2025&lt;/D&gt;&lt;D xsi:type="xsd:string"&gt;17/04/2025&lt;/D&gt;&lt;D xsi:type="xsd:string"&gt;18/04/2025&lt;/D&gt;&lt;D xsi:type="xsd:string"&gt;21/04/2025&lt;/D&gt;&lt;D xsi:type="xsd:string"&gt;22/04/2025&lt;/D&gt;&lt;D xsi:type="xsd:string"&gt;23/04/2025&lt;/D&gt;&lt;D xsi:type="xsd:string"&gt;24/04/2025&lt;/D&gt;&lt;D xsi:type="xsd:string"&gt;25/04/2025&lt;/D&gt;&lt;D xsi:type="xsd:string"&gt;28/04/2025&lt;/D&gt;&lt;D xsi:type="xsd:string"&gt;29/04/2025&lt;/D&gt;&lt;D xsi:type="xsd:string"&gt;30/04/2025&lt;/D&gt;&lt;D xsi:type="xsd:string"&gt;01/05/2025&lt;/D&gt;&lt;D xsi:type="xsd:string"&gt;02/05/2025&lt;/D&gt;&lt;D xsi:type="xsd:string"&gt;05/05/2025&lt;/D&gt;&lt;D xsi:type="xsd:string"&gt;06/05/2025&lt;/D&gt;&lt;D xsi:type="xsd:string"&gt;07/05/2025&lt;/D&gt;&lt;D xsi:type="xsd:string"&gt;08/05/2025&lt;/D&gt;&lt;D xsi:type="xsd:string"&gt;09/05/2025&lt;/D&gt;&lt;D xsi:type="xsd:string"&gt;12/05/2025&lt;/D&gt;&lt;D xsi:type="xsd:string"&gt;13/05/2025&lt;/D&gt;&lt;D xsi:type="xsd:string"&gt;14/05/2025&lt;/D&gt;&lt;D xsi:type="xsd:string"&gt;15/05/2025&lt;/D&gt;&lt;D xsi:type="xsd:string"&gt;16/05/2025&lt;/D&gt;&lt;D xsi:type="xsd:string"&gt;19/05/2025&lt;/D&gt;&lt;D xsi:type="xsd:string"&gt;20/05/2025&lt;/D&gt;&lt;D xsi:type="xsd:string"&gt;21/05/2025&lt;/D&gt;&lt;D xsi:type="xsd:string"&gt;22/05/2025&lt;/D&gt;&lt;D xsi:type="xsd:string"&gt;23/05/2025&lt;/D&gt;&lt;D xsi:type="xsd:string"&gt;26/05/2025&lt;/D&gt;&lt;D xsi:type="xsd:string"&gt;27/05/2025&lt;/D&gt;&lt;D xsi:type="xsd:string"&gt;28/05/2025&lt;/D&gt;&lt;D xsi:type="xsd:string"&gt;29/05/2025&lt;/D&gt;&lt;D xsi:type="xsd:string"&gt;30/05/2025&lt;/D&gt;&lt;D xsi:type="xsd:string"&gt;02/06/2025&lt;/D&gt;&lt;D xsi:type="xsd:string"&gt;03/06/2025&lt;/D&gt;&lt;D xsi:type="xsd:string"&gt;04/06/2025&lt;/D&gt;&lt;D xsi:type="xsd:string"&gt;05/06/2025&lt;/D&gt;&lt;D xsi:type="xsd:string"&gt;06/06/2025&lt;/D&gt;&lt;D xsi:type="xsd:string"&gt;09/06/2025&lt;/D&gt;&lt;D xsi:type="xsd:string"&gt;10/06/2025&lt;/D&gt;&lt;D xsi:type="xsd:string"&gt;11/06/2025&lt;/D&gt;&lt;D xsi:type="xsd:string"&gt;12/06/2025&lt;/D&gt;&lt;D xsi:type="xsd:string"&gt;13/06/2025&lt;/D&gt;&lt;D xsi:type="xsd:string"&gt;16/06/2025&lt;/D&gt;&lt;D xsi:type="xsd:string"&gt;17/06/2025&lt;/D&gt;&lt;D xsi:type="xsd:string"&gt;18/06/2025&lt;/D&gt;&lt;D xsi:type="xsd:string"&gt;19/06/2025&lt;/D&gt;&lt;D xsi:type="xsd:string"&gt;20/06/2025&lt;/D&gt;&lt;D xsi:type="xsd:string"&gt;23/06/2025&lt;/D&gt;&lt;D xsi:type="xsd:string"&gt;24/06/2025&lt;/D&gt;&lt;D xsi:type="xsd:string"&gt;25/06/2025&lt;/D&gt;&lt;D xsi:type="xsd:string"&gt;26/06/2025&lt;/D&gt;&lt;D xsi:type="xsd:string"&gt;27/06/2025&lt;/D&gt;&lt;D xsi:type="xsd:string"&gt;30/06/2025&lt;/D&gt;&lt;D xsi:type="xsd:string"&gt;01/07/2025&lt;/D&gt;&lt;D xsi:type="xsd:string"&gt;02/07/2025&lt;/D&gt;&lt;D xsi:type="xsd:string"&gt;03/07/2025&lt;/D&gt;&lt;D xsi:type="xsd:string"&gt;04/07/2025&lt;/D&gt;&lt;D xsi:type="xsd:string"&gt;07/07/2025&lt;/D&gt;&lt;D xsi:type="xsd:string"&gt;08/07/2025&lt;/D&gt;&lt;D xsi:type="xsd:string"&gt;09/07/2025&lt;/D&gt;&lt;D xsi:type="xsd:string"&gt;10/07/2025&lt;/D&gt;&lt;D xsi:type="xsd:string"&gt;11/07/2025&lt;/D&gt;&lt;D xsi:type="xsd:string"&gt;14/07/2025&lt;/D&gt;&lt;D xsi:type="xsd:string"&gt;15/07/2025&lt;/D&gt;&lt;D xsi:type="xsd:string"&gt;16/07/2025&lt;/D&gt;&lt;D xsi:type="xsd:string"&gt;17/07/2025&lt;/D&gt;&lt;D xsi:type="xsd:string"&gt;18/07/2025&lt;/D&gt;&lt;D xsi:type="xsd:string"&gt;21/07/2025&lt;/D&gt;&lt;D xsi:type="xsd:string"&gt;22/07/2025&lt;/D&gt;&lt;D xsi:type="xsd:string"&gt;23/07/2025&lt;/D&gt;&lt;D xsi:type="xsd:string"&gt;24/07/2025&lt;/D&gt;&lt;D xsi:type="xsd:string"&gt;25/07/2025&lt;/D&gt;&lt;D xsi:type="xsd:string"&gt;28/07/2025&lt;/D&gt;&lt;D xsi:type="xsd:string"&gt;29/07/2025&lt;/D&gt;&lt;D xsi:type="xsd:string"&gt;30/07/2025&lt;/D&gt;&lt;D xsi:type="xsd:string"&gt;31/07/2025&lt;/D&gt;&lt;/FQL&gt;&lt;FQL&gt;&lt;Q&gt;USDUAH^P_PRICE_AVG(45292,45657)&lt;/Q&gt;&lt;R&gt;1&lt;/R&gt;&lt;C&gt;1&lt;/C&gt;&lt;D xsi:type="xsd:double"&gt;40.19286&lt;/D&gt;&lt;/FQL&gt;&lt;FQL&gt;&lt;Q&gt;USDUAH^P_PRICE_AVG(45657,45869)&lt;/Q&gt;&lt;R&gt;1&lt;/R&gt;&lt;C&gt;1&lt;/C&gt;&lt;D xsi:type="xsd:double"&gt;41.667206&lt;/D&gt;&lt;/FQL&gt;&lt;/Schema&gt;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N7" authorId="0" shapeId="0" xr:uid="{21EF063A-4812-4C75-BB62-FB3B968756EC}">
      <text>
        <r>
          <rPr>
            <b/>
            <sz val="9"/>
            <color indexed="81"/>
            <rFont val="Tahoma"/>
            <family val="2"/>
          </rPr>
          <t>Kelvin Oh:</t>
        </r>
        <r>
          <rPr>
            <sz val="9"/>
            <color indexed="81"/>
            <rFont val="Tahoma"/>
            <family val="2"/>
          </rPr>
          <t xml:space="preserve">
3/4 of Uklon</t>
        </r>
      </text>
    </comment>
    <comment ref="N14" authorId="0" shapeId="0" xr:uid="{97B0CFF6-0970-4215-BADB-C5645F71FB44}">
      <text>
        <r>
          <rPr>
            <b/>
            <sz val="9"/>
            <color indexed="81"/>
            <rFont val="Tahoma"/>
            <family val="2"/>
          </rPr>
          <t>Kelvin Oh:</t>
        </r>
        <r>
          <rPr>
            <sz val="9"/>
            <color indexed="81"/>
            <rFont val="Tahoma"/>
            <family val="2"/>
          </rPr>
          <t xml:space="preserve">
expect some dilution as Uklon gets consolidated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Kelvin Oh</author>
    <author>Kelvin</author>
  </authors>
  <commentList>
    <comment ref="E91" authorId="0" shapeId="0" xr:uid="{03F08DE2-521F-409F-B057-D8D26CCCFA8C}">
      <text>
        <r>
          <rPr>
            <b/>
            <sz val="9"/>
            <color indexed="81"/>
            <rFont val="Tahoma"/>
            <family val="2"/>
          </rPr>
          <t>Kelvin Oh:</t>
        </r>
        <r>
          <rPr>
            <sz val="9"/>
            <color indexed="81"/>
            <rFont val="Tahoma"/>
            <family val="2"/>
          </rPr>
          <t xml:space="preserve">
from Presentation</t>
        </r>
      </text>
    </comment>
    <comment ref="F91" authorId="0" shapeId="0" xr:uid="{471C7757-1F16-4DB4-9B48-9BD5C9D62D06}">
      <text>
        <r>
          <rPr>
            <b/>
            <sz val="9"/>
            <color indexed="81"/>
            <rFont val="Tahoma"/>
            <family val="2"/>
          </rPr>
          <t>Kelvin Oh:</t>
        </r>
        <r>
          <rPr>
            <sz val="9"/>
            <color indexed="81"/>
            <rFont val="Tahoma"/>
            <family val="2"/>
          </rPr>
          <t xml:space="preserve">
from Presentation</t>
        </r>
      </text>
    </comment>
    <comment ref="G91" authorId="0" shapeId="0" xr:uid="{05416CE5-5E3F-47AF-A4A6-A26FB3B3129F}">
      <text>
        <r>
          <rPr>
            <b/>
            <sz val="9"/>
            <color indexed="81"/>
            <rFont val="Tahoma"/>
            <family val="2"/>
          </rPr>
          <t>Kelvin Oh:</t>
        </r>
        <r>
          <rPr>
            <sz val="9"/>
            <color indexed="81"/>
            <rFont val="Tahoma"/>
            <family val="2"/>
          </rPr>
          <t xml:space="preserve">
from Presentation</t>
        </r>
      </text>
    </comment>
    <comment ref="H91" authorId="0" shapeId="0" xr:uid="{735456E4-66FD-4186-B277-0D0C8481F6DF}">
      <text>
        <r>
          <rPr>
            <b/>
            <sz val="9"/>
            <color indexed="81"/>
            <rFont val="Tahoma"/>
            <family val="2"/>
          </rPr>
          <t>Kelvin Oh:</t>
        </r>
        <r>
          <rPr>
            <sz val="9"/>
            <color indexed="81"/>
            <rFont val="Tahoma"/>
            <family val="2"/>
          </rPr>
          <t xml:space="preserve">
from Presentation</t>
        </r>
      </text>
    </comment>
    <comment ref="I91" authorId="0" shapeId="0" xr:uid="{5E61267F-9CD5-45CD-9981-6DE11348344A}">
      <text>
        <r>
          <rPr>
            <b/>
            <sz val="9"/>
            <color indexed="81"/>
            <rFont val="Tahoma"/>
            <family val="2"/>
          </rPr>
          <t>Kelvin Oh:</t>
        </r>
        <r>
          <rPr>
            <sz val="9"/>
            <color indexed="81"/>
            <rFont val="Tahoma"/>
            <family val="2"/>
          </rPr>
          <t xml:space="preserve">
from Presentation</t>
        </r>
      </text>
    </comment>
    <comment ref="J92" authorId="0" shapeId="0" xr:uid="{6A87FACF-C93C-48A2-8FD3-A80F5CC93DB2}">
      <text>
        <r>
          <rPr>
            <b/>
            <sz val="9"/>
            <color indexed="81"/>
            <rFont val="Tahoma"/>
            <family val="2"/>
          </rPr>
          <t>Kelvin Oh:</t>
        </r>
        <r>
          <rPr>
            <sz val="9"/>
            <color indexed="81"/>
            <rFont val="Tahoma"/>
            <family val="2"/>
          </rPr>
          <t xml:space="preserve">
larger due to lower base from Cyberattack in 2H 2024</t>
        </r>
      </text>
    </comment>
    <comment ref="E113" authorId="0" shapeId="0" xr:uid="{806B8C3D-FEDB-4DF8-88EF-CE631E13120F}">
      <text>
        <r>
          <rPr>
            <b/>
            <sz val="9"/>
            <color indexed="81"/>
            <rFont val="Tahoma"/>
            <family val="2"/>
          </rPr>
          <t>Kelvin Oh:</t>
        </r>
        <r>
          <rPr>
            <sz val="9"/>
            <color indexed="81"/>
            <rFont val="Tahoma"/>
            <family val="2"/>
          </rPr>
          <t xml:space="preserve">
worldbank</t>
        </r>
      </text>
    </comment>
    <comment ref="F113" authorId="0" shapeId="0" xr:uid="{D99B1D87-00C7-4E1E-B76F-A084B70561DB}">
      <text>
        <r>
          <rPr>
            <b/>
            <sz val="9"/>
            <color indexed="81"/>
            <rFont val="Tahoma"/>
            <family val="2"/>
          </rPr>
          <t>Kelvin Oh:</t>
        </r>
        <r>
          <rPr>
            <sz val="9"/>
            <color indexed="81"/>
            <rFont val="Tahoma"/>
            <family val="2"/>
          </rPr>
          <t xml:space="preserve">
worldbank</t>
        </r>
      </text>
    </comment>
    <comment ref="G113" authorId="0" shapeId="0" xr:uid="{6473F9F5-A73B-494F-B3BC-573491F0E5C7}">
      <text>
        <r>
          <rPr>
            <b/>
            <sz val="9"/>
            <color indexed="81"/>
            <rFont val="Tahoma"/>
            <family val="2"/>
          </rPr>
          <t>Kelvin Oh:</t>
        </r>
        <r>
          <rPr>
            <sz val="9"/>
            <color indexed="81"/>
            <rFont val="Tahoma"/>
            <family val="2"/>
          </rPr>
          <t xml:space="preserve">
worldbank</t>
        </r>
      </text>
    </comment>
    <comment ref="H113" authorId="0" shapeId="0" xr:uid="{481848DC-C513-4B79-BBB7-8472A42C2A87}">
      <text>
        <r>
          <rPr>
            <b/>
            <sz val="9"/>
            <color indexed="81"/>
            <rFont val="Tahoma"/>
            <family val="2"/>
          </rPr>
          <t>Kelvin Oh:</t>
        </r>
        <r>
          <rPr>
            <sz val="9"/>
            <color indexed="81"/>
            <rFont val="Tahoma"/>
            <family val="2"/>
          </rPr>
          <t xml:space="preserve">
ITU
https://datahub.itu.int/data/?e=UKR&amp;c=&amp;i=19303&amp;u=count</t>
        </r>
      </text>
    </comment>
    <comment ref="F137" authorId="0" shapeId="0" xr:uid="{3D7123C7-9A47-462D-9D63-3544FE4C6758}">
      <text>
        <r>
          <rPr>
            <b/>
            <sz val="9"/>
            <color indexed="81"/>
            <rFont val="Tahoma"/>
            <family val="2"/>
          </rPr>
          <t>Kelvin Oh:</t>
        </r>
        <r>
          <rPr>
            <sz val="9"/>
            <color indexed="81"/>
            <rFont val="Tahoma"/>
            <family val="2"/>
          </rPr>
          <t xml:space="preserve">
Calculated from reported fixed divided average subs</t>
        </r>
      </text>
    </comment>
    <comment ref="G137" authorId="0" shapeId="0" xr:uid="{7677C4CB-5D08-4B11-A309-050E9090CAC1}">
      <text>
        <r>
          <rPr>
            <b/>
            <sz val="9"/>
            <color indexed="81"/>
            <rFont val="Tahoma"/>
            <family val="2"/>
          </rPr>
          <t>Kelvin Oh:</t>
        </r>
        <r>
          <rPr>
            <sz val="9"/>
            <color indexed="81"/>
            <rFont val="Tahoma"/>
            <family val="2"/>
          </rPr>
          <t xml:space="preserve">
Calculated from reported fixed divided average subs</t>
        </r>
      </text>
    </comment>
    <comment ref="H137" authorId="0" shapeId="0" xr:uid="{C6424C5D-21D8-4D9B-8C85-4FEA309E191D}">
      <text>
        <r>
          <rPr>
            <b/>
            <sz val="9"/>
            <color indexed="81"/>
            <rFont val="Tahoma"/>
            <family val="2"/>
          </rPr>
          <t>Kelvin Oh:</t>
        </r>
        <r>
          <rPr>
            <sz val="9"/>
            <color indexed="81"/>
            <rFont val="Tahoma"/>
            <family val="2"/>
          </rPr>
          <t xml:space="preserve">
Calculated from reported fixed divided average subs</t>
        </r>
      </text>
    </comment>
    <comment ref="I137" authorId="0" shapeId="0" xr:uid="{88CFD803-FD05-4AE9-A57B-B2A5389324D6}">
      <text>
        <r>
          <rPr>
            <b/>
            <sz val="9"/>
            <color indexed="81"/>
            <rFont val="Tahoma"/>
            <family val="2"/>
          </rPr>
          <t>Kelvin Oh:</t>
        </r>
        <r>
          <rPr>
            <sz val="9"/>
            <color indexed="81"/>
            <rFont val="Tahoma"/>
            <family val="2"/>
          </rPr>
          <t xml:space="preserve">
Calculated from reported fixed divided average subs</t>
        </r>
      </text>
    </comment>
    <comment ref="E148" authorId="0" shapeId="0" xr:uid="{098778A0-22ED-4AB0-ACC4-02D909F5AB56}">
      <text>
        <r>
          <rPr>
            <b/>
            <sz val="9"/>
            <color indexed="81"/>
            <rFont val="Tahoma"/>
            <family val="2"/>
          </rPr>
          <t>Kelvin Oh:</t>
        </r>
        <r>
          <rPr>
            <sz val="9"/>
            <color indexed="81"/>
            <rFont val="Tahoma"/>
            <family val="2"/>
          </rPr>
          <t xml:space="preserve">
VEON model</t>
        </r>
      </text>
    </comment>
    <comment ref="F148" authorId="0" shapeId="0" xr:uid="{3F60E16D-2ADF-468C-BB78-53296C839E80}">
      <text>
        <r>
          <rPr>
            <b/>
            <sz val="9"/>
            <color indexed="81"/>
            <rFont val="Tahoma"/>
            <family val="2"/>
          </rPr>
          <t>Kelvin Oh:</t>
        </r>
        <r>
          <rPr>
            <sz val="9"/>
            <color indexed="81"/>
            <rFont val="Tahoma"/>
            <family val="2"/>
          </rPr>
          <t xml:space="preserve">
VEON model</t>
        </r>
      </text>
    </comment>
    <comment ref="G148" authorId="0" shapeId="0" xr:uid="{EF9F41F9-9B40-4C54-89FD-073FE4B3FDFB}">
      <text>
        <r>
          <rPr>
            <b/>
            <sz val="9"/>
            <color indexed="81"/>
            <rFont val="Tahoma"/>
            <family val="2"/>
          </rPr>
          <t>Kelvin Oh:</t>
        </r>
        <r>
          <rPr>
            <sz val="9"/>
            <color indexed="81"/>
            <rFont val="Tahoma"/>
            <family val="2"/>
          </rPr>
          <t xml:space="preserve">
VEON model</t>
        </r>
      </text>
    </comment>
    <comment ref="H148" authorId="0" shapeId="0" xr:uid="{2EDB7A08-7E45-4870-BEF9-7AB2457E3CC8}">
      <text>
        <r>
          <rPr>
            <b/>
            <sz val="9"/>
            <color indexed="81"/>
            <rFont val="Tahoma"/>
            <family val="2"/>
          </rPr>
          <t>Kelvin Oh:</t>
        </r>
        <r>
          <rPr>
            <sz val="9"/>
            <color indexed="81"/>
            <rFont val="Tahoma"/>
            <family val="2"/>
          </rPr>
          <t xml:space="preserve">
VEON model</t>
        </r>
      </text>
    </comment>
    <comment ref="J163" authorId="0" shapeId="0" xr:uid="{54168886-4850-41C8-B267-087FBD8907B7}">
      <text>
        <r>
          <rPr>
            <b/>
            <sz val="9"/>
            <color indexed="81"/>
            <rFont val="Tahoma"/>
            <family val="2"/>
          </rPr>
          <t>Kelvin Oh:</t>
        </r>
        <r>
          <rPr>
            <sz val="9"/>
            <color indexed="81"/>
            <rFont val="Tahoma"/>
            <family val="2"/>
          </rPr>
          <t xml:space="preserve">
only recognised from March 2025 onwards</t>
        </r>
      </text>
    </comment>
    <comment ref="J202" authorId="0" shapeId="0" xr:uid="{39FAEFC0-6C02-4EB5-ABFC-700588313BDA}">
      <text>
        <r>
          <rPr>
            <b/>
            <sz val="9"/>
            <color indexed="81"/>
            <rFont val="Tahoma"/>
            <family val="2"/>
          </rPr>
          <t>Kelvin Oh:</t>
        </r>
        <r>
          <rPr>
            <sz val="9"/>
            <color indexed="81"/>
            <rFont val="Tahoma"/>
            <family val="2"/>
          </rPr>
          <t xml:space="preserve">
3/4 in 2025</t>
        </r>
      </text>
    </comment>
    <comment ref="H227" authorId="0" shapeId="0" xr:uid="{7F42539A-D5D0-4A4A-BF5A-7C787C83CA8E}">
      <text>
        <r>
          <rPr>
            <b/>
            <sz val="9"/>
            <color indexed="81"/>
            <rFont val="Tahoma"/>
            <family val="2"/>
          </rPr>
          <t>Kelvin Oh:</t>
        </r>
        <r>
          <rPr>
            <sz val="9"/>
            <color indexed="81"/>
            <rFont val="Tahoma"/>
            <family val="2"/>
          </rPr>
          <t xml:space="preserve">
IR mentioned 7% of digital in 2024</t>
        </r>
      </text>
    </comment>
    <comment ref="I227" authorId="0" shapeId="0" xr:uid="{96B91ABE-E5A9-4C15-A2EA-551C62BF6344}">
      <text>
        <r>
          <rPr>
            <b/>
            <sz val="9"/>
            <color indexed="81"/>
            <rFont val="Tahoma"/>
            <family val="2"/>
          </rPr>
          <t>Kelvin Oh:</t>
        </r>
        <r>
          <rPr>
            <sz val="9"/>
            <color indexed="81"/>
            <rFont val="Tahoma"/>
            <family val="2"/>
          </rPr>
          <t xml:space="preserve">
IR mentioned 7% of digital in 2024</t>
        </r>
      </text>
    </comment>
    <comment ref="H229" authorId="0" shapeId="0" xr:uid="{F94C263C-042B-43E3-9C42-E60EE93FEF89}">
      <text>
        <r>
          <rPr>
            <b/>
            <sz val="9"/>
            <color indexed="81"/>
            <rFont val="Tahoma"/>
            <family val="2"/>
          </rPr>
          <t>Kelvin Oh:</t>
        </r>
        <r>
          <rPr>
            <sz val="9"/>
            <color indexed="81"/>
            <rFont val="Tahoma"/>
            <family val="2"/>
          </rPr>
          <t xml:space="preserve">
CMD presentation</t>
        </r>
      </text>
    </comment>
    <comment ref="I229" authorId="0" shapeId="0" xr:uid="{43357C00-DFEA-4CB7-927E-39DE5CB170A2}">
      <text>
        <r>
          <rPr>
            <b/>
            <sz val="9"/>
            <color indexed="81"/>
            <rFont val="Tahoma"/>
            <family val="2"/>
          </rPr>
          <t>Kelvin Oh:</t>
        </r>
        <r>
          <rPr>
            <sz val="9"/>
            <color indexed="81"/>
            <rFont val="Tahoma"/>
            <family val="2"/>
          </rPr>
          <t xml:space="preserve">
From 2024 presentation</t>
        </r>
      </text>
    </comment>
    <comment ref="G241" authorId="0" shapeId="0" xr:uid="{AAD0821B-504A-453C-8CBF-4558AE902FC8}">
      <text>
        <r>
          <rPr>
            <b/>
            <sz val="9"/>
            <color indexed="81"/>
            <rFont val="Tahoma"/>
            <family val="2"/>
          </rPr>
          <t>Kelvin Oh:</t>
        </r>
        <r>
          <rPr>
            <sz val="9"/>
            <color indexed="81"/>
            <rFont val="Tahoma"/>
            <family val="2"/>
          </rPr>
          <t xml:space="preserve">
reported 2023 increased by 18.5% YoY</t>
        </r>
      </text>
    </comment>
    <comment ref="H249" authorId="0" shapeId="0" xr:uid="{BE7D7142-CC2C-4942-ABFA-C0C4881C022D}">
      <text>
        <r>
          <rPr>
            <b/>
            <sz val="9"/>
            <color indexed="81"/>
            <rFont val="Tahoma"/>
            <family val="2"/>
          </rPr>
          <t xml:space="preserve">Kelvin Oh:
</t>
        </r>
        <r>
          <rPr>
            <sz val="9"/>
            <color indexed="81"/>
            <rFont val="Tahoma"/>
            <family val="2"/>
          </rPr>
          <t>2024 presentation</t>
        </r>
        <r>
          <rPr>
            <b/>
            <sz val="9"/>
            <color indexed="81"/>
            <rFont val="Tahoma"/>
            <family val="2"/>
          </rPr>
          <t xml:space="preserve">
</t>
        </r>
        <r>
          <rPr>
            <sz val="9"/>
            <color indexed="81"/>
            <rFont val="Tahoma"/>
            <family val="2"/>
          </rPr>
          <t xml:space="preserve">
Kyivstar around 29% of digital as of June 2024 according to IR2024</t>
        </r>
      </text>
    </comment>
    <comment ref="I249" authorId="0" shapeId="0" xr:uid="{5859B649-DB63-4A7D-956C-B255A1C96372}">
      <text>
        <r>
          <rPr>
            <b/>
            <sz val="9"/>
            <color indexed="81"/>
            <rFont val="Tahoma"/>
            <family val="2"/>
          </rPr>
          <t xml:space="preserve">Kelvin Oh:
</t>
        </r>
        <r>
          <rPr>
            <sz val="9"/>
            <color indexed="81"/>
            <rFont val="Tahoma"/>
            <family val="2"/>
          </rPr>
          <t>2024 presentation</t>
        </r>
        <r>
          <rPr>
            <b/>
            <sz val="9"/>
            <color indexed="81"/>
            <rFont val="Tahoma"/>
            <family val="2"/>
          </rPr>
          <t xml:space="preserve">
</t>
        </r>
        <r>
          <rPr>
            <sz val="9"/>
            <color indexed="81"/>
            <rFont val="Tahoma"/>
            <family val="2"/>
          </rPr>
          <t xml:space="preserve">
Kyivstar around 29% of digital as of June 2024 according to IR2024</t>
        </r>
      </text>
    </comment>
    <comment ref="H251" authorId="0" shapeId="0" xr:uid="{ADAB4780-B54C-493A-B694-A03BB1A9D57A}">
      <text>
        <r>
          <rPr>
            <b/>
            <sz val="9"/>
            <color indexed="81"/>
            <rFont val="Tahoma"/>
            <family val="2"/>
          </rPr>
          <t>Kelvin Oh:</t>
        </r>
        <r>
          <rPr>
            <sz val="9"/>
            <color indexed="81"/>
            <rFont val="Tahoma"/>
            <family val="2"/>
          </rPr>
          <t xml:space="preserve">
implied from 2024 presentation. 
80% paid subs. Mentioned in CMD gross revenue is 615m UAH m</t>
        </r>
      </text>
    </comment>
    <comment ref="I251" authorId="0" shapeId="0" xr:uid="{C3F94006-760F-4D62-A5E7-7B6B9D1BF718}">
      <text>
        <r>
          <rPr>
            <b/>
            <sz val="9"/>
            <color indexed="81"/>
            <rFont val="Tahoma"/>
            <family val="2"/>
          </rPr>
          <t xml:space="preserve">Kelvin Oh:
</t>
        </r>
        <r>
          <rPr>
            <sz val="9"/>
            <color indexed="81"/>
            <rFont val="Tahoma"/>
            <family val="2"/>
          </rPr>
          <t>2024 presentation</t>
        </r>
        <r>
          <rPr>
            <b/>
            <sz val="9"/>
            <color indexed="81"/>
            <rFont val="Tahoma"/>
            <family val="2"/>
          </rPr>
          <t xml:space="preserve">
</t>
        </r>
        <r>
          <rPr>
            <sz val="9"/>
            <color indexed="81"/>
            <rFont val="Tahoma"/>
            <family val="2"/>
          </rPr>
          <t xml:space="preserve">
Kyivstar around 29% of digital as of June 2024 according to IR2024</t>
        </r>
      </text>
    </comment>
    <comment ref="I306" authorId="1" shapeId="0" xr:uid="{9362F940-A530-4D4F-AD65-7D94030F2316}">
      <text>
        <r>
          <rPr>
            <b/>
            <sz val="9"/>
            <color indexed="81"/>
            <rFont val="Tahoma"/>
            <family val="2"/>
          </rPr>
          <t>Kelvin:</t>
        </r>
        <r>
          <rPr>
            <sz val="9"/>
            <color indexed="81"/>
            <rFont val="Tahoma"/>
            <family val="2"/>
          </rPr>
          <t xml:space="preserve">
estimated</t>
        </r>
      </text>
    </comment>
    <comment ref="I310" authorId="1" shapeId="0" xr:uid="{75329D3C-C60C-44D5-AFDC-570F46AA3118}">
      <text>
        <r>
          <rPr>
            <b/>
            <sz val="9"/>
            <color indexed="81"/>
            <rFont val="Tahoma"/>
            <family val="2"/>
          </rPr>
          <t>Kelvin:</t>
        </r>
        <r>
          <rPr>
            <sz val="9"/>
            <color indexed="81"/>
            <rFont val="Tahoma"/>
            <family val="2"/>
          </rPr>
          <t xml:space="preserve">
estimated</t>
        </r>
      </text>
    </comment>
    <comment ref="V310" authorId="0" shapeId="0" xr:uid="{A16D9700-8BAD-44D5-8A5A-AE975F7E994F}">
      <text>
        <r>
          <rPr>
            <b/>
            <sz val="9"/>
            <color indexed="81"/>
            <rFont val="Tahoma"/>
            <family val="2"/>
          </rPr>
          <t>Kelvin Oh:</t>
        </r>
        <r>
          <rPr>
            <sz val="9"/>
            <color indexed="81"/>
            <rFont val="Tahoma"/>
            <family val="2"/>
          </rPr>
          <t xml:space="preserve">
https://dev.ua/en/news/plany-uklon-1752144855</t>
        </r>
      </text>
    </comment>
    <comment ref="J311" authorId="0" shapeId="0" xr:uid="{602D854B-B45C-4DEE-ADD4-A92952881736}">
      <text>
        <r>
          <rPr>
            <b/>
            <sz val="9"/>
            <color indexed="81"/>
            <rFont val="Tahoma"/>
            <family val="2"/>
          </rPr>
          <t>Kelvin Oh:</t>
        </r>
        <r>
          <rPr>
            <sz val="9"/>
            <color indexed="81"/>
            <rFont val="Tahoma"/>
            <family val="2"/>
          </rPr>
          <t xml:space="preserve">
3.5m as of June 2025</t>
        </r>
      </text>
    </comment>
    <comment ref="I318" authorId="1" shapeId="0" xr:uid="{4BE38154-539B-4880-B642-6085C95B447A}">
      <text>
        <r>
          <rPr>
            <b/>
            <sz val="9"/>
            <color indexed="81"/>
            <rFont val="Tahoma"/>
            <family val="2"/>
          </rPr>
          <t>Kelvin:</t>
        </r>
        <r>
          <rPr>
            <sz val="9"/>
            <color indexed="81"/>
            <rFont val="Tahoma"/>
            <family val="2"/>
          </rPr>
          <t xml:space="preserve">
https://dev.ua/en/news/plany-uklon-1752144855</t>
        </r>
      </text>
    </comment>
    <comment ref="I327" authorId="0" shapeId="0" xr:uid="{2839A7CB-093E-45CE-A94E-79C193B39005}">
      <text>
        <r>
          <rPr>
            <b/>
            <sz val="9"/>
            <color indexed="81"/>
            <rFont val="Tahoma"/>
            <family val="2"/>
          </rPr>
          <t>Kelvin Oh:</t>
        </r>
        <r>
          <rPr>
            <sz val="9"/>
            <color indexed="81"/>
            <rFont val="Tahoma"/>
            <family val="2"/>
          </rPr>
          <t xml:space="preserve">
Converted from officially reported revenue in USD. </t>
        </r>
      </text>
    </comment>
    <comment ref="J331" authorId="0" shapeId="0" xr:uid="{4ED5DD8D-4282-4F53-AE08-74B19B1D430C}">
      <text>
        <r>
          <rPr>
            <b/>
            <sz val="9"/>
            <color indexed="81"/>
            <rFont val="Tahoma"/>
            <family val="2"/>
          </rPr>
          <t>Kelvin Oh:</t>
        </r>
        <r>
          <rPr>
            <sz val="9"/>
            <color indexed="81"/>
            <rFont val="Tahoma"/>
            <family val="2"/>
          </rPr>
          <t xml:space="preserve">
combined; 43% if include Uzbekistan</t>
        </r>
      </text>
    </comment>
    <comment ref="I341" authorId="1" shapeId="0" xr:uid="{90A4A6AC-5310-4605-AF14-52A1D9B68C6F}">
      <text>
        <r>
          <rPr>
            <b/>
            <sz val="9"/>
            <color indexed="81"/>
            <rFont val="Tahoma"/>
            <family val="2"/>
          </rPr>
          <t>Kelvin:</t>
        </r>
        <r>
          <rPr>
            <sz val="9"/>
            <color indexed="81"/>
            <rFont val="Tahoma"/>
            <family val="2"/>
          </rPr>
          <t xml:space="preserve">
assumed</t>
        </r>
      </text>
    </comment>
    <comment ref="F344" authorId="1" shapeId="0" xr:uid="{8C9F9878-2198-4D80-8D96-A82AB3AD3B72}">
      <text>
        <r>
          <rPr>
            <b/>
            <sz val="9"/>
            <color indexed="81"/>
            <rFont val="Tahoma"/>
            <family val="2"/>
          </rPr>
          <t>Kelvin:</t>
        </r>
        <r>
          <rPr>
            <sz val="9"/>
            <color indexed="81"/>
            <rFont val="Tahoma"/>
            <family val="2"/>
          </rPr>
          <t xml:space="preserve">
based on reported 30% CAGR between 2021 and 2024, USD
https://www.veon.com/newsroom/press-releases/veon-discloses-selected-key-financial-metrics-about-uklon</t>
        </r>
      </text>
    </comment>
    <comment ref="I344" authorId="0" shapeId="0" xr:uid="{5CDB48BC-5355-4A8E-B6EC-D76F41F29787}">
      <text>
        <r>
          <rPr>
            <b/>
            <sz val="9"/>
            <color indexed="81"/>
            <rFont val="Tahoma"/>
            <family val="2"/>
          </rPr>
          <t>Kelvin Oh:</t>
        </r>
        <r>
          <rPr>
            <sz val="9"/>
            <color indexed="81"/>
            <rFont val="Tahoma"/>
            <family val="2"/>
          </rPr>
          <t xml:space="preserve">
reported
https://www.veon.com/newsroom/press-releases/veon-discloses-selected-key-financial-metrics-about-uklon</t>
        </r>
      </text>
    </comment>
    <comment ref="J376" authorId="0" shapeId="0" xr:uid="{5C18F5D8-4A7D-4A40-8633-DF9E82EE5F52}">
      <text>
        <r>
          <rPr>
            <b/>
            <sz val="9"/>
            <color indexed="81"/>
            <rFont val="Tahoma"/>
            <family val="2"/>
          </rPr>
          <t>Kelvin Oh:</t>
        </r>
        <r>
          <rPr>
            <sz val="9"/>
            <color indexed="81"/>
            <rFont val="Tahoma"/>
            <family val="2"/>
          </rPr>
          <t xml:space="preserve">
repayment of $578
million of debt and derivatives consisting of $561
million ofprincipal; $11
million of accrued interest; and $6
million impact of foreign exchange gainsand losses. The repayment reflects $306
million of proceeds utilized from the Loan receivablefrom VEON Amsterdam, $32
million of proceeds from receivable from VEON Amsterdamand $223
million in proceeds from cash and cash equivalents</t>
        </r>
      </text>
    </comment>
    <comment ref="M384" authorId="0" shapeId="0" xr:uid="{5444F93D-8E45-4CC1-82A9-308B7831E51B}">
      <text>
        <r>
          <rPr>
            <b/>
            <sz val="9"/>
            <color indexed="81"/>
            <rFont val="Tahoma"/>
            <family val="2"/>
          </rPr>
          <t>Kelvin Oh:</t>
        </r>
        <r>
          <rPr>
            <sz val="9"/>
            <color indexed="81"/>
            <rFont val="Tahoma"/>
            <family val="2"/>
          </rPr>
          <t xml:space="preserve">
based on most recent filing</t>
        </r>
      </text>
    </comment>
    <comment ref="M387" authorId="0" shapeId="0" xr:uid="{BDB91B2A-681D-4D25-B6EE-04190F03DEE9}">
      <text>
        <r>
          <rPr>
            <b/>
            <sz val="9"/>
            <color indexed="81"/>
            <rFont val="Tahoma"/>
            <family val="2"/>
          </rPr>
          <t>Kelvin Oh:</t>
        </r>
        <r>
          <rPr>
            <sz val="9"/>
            <color indexed="81"/>
            <rFont val="Tahoma"/>
            <family val="2"/>
          </rPr>
          <t xml:space="preserve">
20F post closing
https://www.sec.gov/Archives/edgar/data/2062440/000121390025077507/ea0252235-20f_kyivstar.htm</t>
        </r>
      </text>
    </comment>
    <comment ref="J388" authorId="0" shapeId="0" xr:uid="{CF40A18F-275D-4146-8879-EDC6DAD2A829}">
      <text>
        <r>
          <rPr>
            <b/>
            <sz val="9"/>
            <color indexed="81"/>
            <rFont val="Tahoma"/>
            <family val="2"/>
          </rPr>
          <t>Kelvin Oh:</t>
        </r>
        <r>
          <rPr>
            <sz val="9"/>
            <color indexed="81"/>
            <rFont val="Tahoma"/>
            <family val="2"/>
          </rPr>
          <t xml:space="preserve">
pg 168 S4</t>
        </r>
      </text>
    </comment>
    <comment ref="E403" authorId="0" shapeId="0" xr:uid="{C8C69E95-4EF9-4D56-8A5D-F2E22A6343CD}">
      <text>
        <r>
          <rPr>
            <b/>
            <sz val="9"/>
            <color indexed="81"/>
            <rFont val="Tahoma"/>
            <family val="2"/>
          </rPr>
          <t>Kelvin Oh:</t>
        </r>
        <r>
          <rPr>
            <sz val="9"/>
            <color indexed="81"/>
            <rFont val="Tahoma"/>
            <family val="2"/>
          </rPr>
          <t xml:space="preserve">
from VEON model</t>
        </r>
      </text>
    </comment>
    <comment ref="F403" authorId="0" shapeId="0" xr:uid="{3D4B2E3F-B879-4C73-B30D-793D8A99D57A}">
      <text>
        <r>
          <rPr>
            <b/>
            <sz val="9"/>
            <color indexed="81"/>
            <rFont val="Tahoma"/>
            <family val="2"/>
          </rPr>
          <t>Kelvin Oh:</t>
        </r>
        <r>
          <rPr>
            <sz val="9"/>
            <color indexed="81"/>
            <rFont val="Tahoma"/>
            <family val="2"/>
          </rPr>
          <t xml:space="preserve">
from VEON model</t>
        </r>
      </text>
    </comment>
    <comment ref="G403" authorId="0" shapeId="0" xr:uid="{87688E30-615C-4202-9BF7-A1D68E3500A7}">
      <text>
        <r>
          <rPr>
            <b/>
            <sz val="9"/>
            <color indexed="81"/>
            <rFont val="Tahoma"/>
            <family val="2"/>
          </rPr>
          <t>Kelvin Oh:</t>
        </r>
        <r>
          <rPr>
            <sz val="9"/>
            <color indexed="81"/>
            <rFont val="Tahoma"/>
            <family val="2"/>
          </rPr>
          <t xml:space="preserve">
from VEON model</t>
        </r>
      </text>
    </comment>
    <comment ref="J489" authorId="0" shapeId="0" xr:uid="{F2D5545F-306C-46DC-B3BE-659520CD1435}">
      <text>
        <r>
          <rPr>
            <b/>
            <sz val="9"/>
            <color indexed="81"/>
            <rFont val="Tahoma"/>
            <family val="2"/>
          </rPr>
          <t>Kelvin Oh:</t>
        </r>
        <r>
          <rPr>
            <sz val="9"/>
            <color indexed="81"/>
            <rFont val="Tahoma"/>
            <family val="2"/>
          </rPr>
          <t xml:space="preserve">
pg 169
repayment of $578
million of debt and derivatives consisting of $561
million ofprincipal; $11
million of accrued interest; and $6
million impact of foreign exchange gainsand losses. The repayment reflects $306
million of proceeds utilized from the Loan receivablefrom VEON Amsterdam, $32
million of proceeds from receivable from VEON Amsterdamand $223 million in proceeds from cash and cash equivalents</t>
        </r>
      </text>
    </comment>
    <comment ref="J522" authorId="0" shapeId="0" xr:uid="{54491CED-7E70-4506-A618-1A4E9D919AA8}">
      <text>
        <r>
          <rPr>
            <b/>
            <sz val="9"/>
            <color indexed="81"/>
            <rFont val="Tahoma"/>
            <family val="2"/>
          </rPr>
          <t>Kelvin Oh:</t>
        </r>
        <r>
          <rPr>
            <sz val="9"/>
            <color indexed="81"/>
            <rFont val="Tahoma"/>
            <family val="2"/>
          </rPr>
          <t xml:space="preserve">
20F post closing
https://www.sec.gov/Archives/edgar/data/2062440/000121390025077507/ea0252235-20f_kyivstar.htm</t>
        </r>
      </text>
    </comment>
    <comment ref="E537" authorId="0" shapeId="0" xr:uid="{0F91BF65-C9C6-4BB9-8A60-1C2E061EAB04}">
      <text>
        <r>
          <rPr>
            <b/>
            <sz val="9"/>
            <color indexed="81"/>
            <rFont val="Tahoma"/>
            <family val="2"/>
          </rPr>
          <t>Kelvin Oh:</t>
        </r>
        <r>
          <rPr>
            <sz val="9"/>
            <color indexed="81"/>
            <rFont val="Tahoma"/>
            <family val="2"/>
          </rPr>
          <t xml:space="preserve">
VEON model, not like for like with 2023</t>
        </r>
      </text>
    </comment>
    <comment ref="F537" authorId="0" shapeId="0" xr:uid="{B22247B5-DF37-486E-ACED-7A099656F30F}">
      <text>
        <r>
          <rPr>
            <b/>
            <sz val="9"/>
            <color indexed="81"/>
            <rFont val="Tahoma"/>
            <family val="2"/>
          </rPr>
          <t>Kelvin Oh:</t>
        </r>
        <r>
          <rPr>
            <sz val="9"/>
            <color indexed="81"/>
            <rFont val="Tahoma"/>
            <family val="2"/>
          </rPr>
          <t xml:space="preserve">
VEON model, not like for like with 2023</t>
        </r>
      </text>
    </comment>
    <comment ref="G537" authorId="0" shapeId="0" xr:uid="{95F8FDC0-C3C6-48EF-8725-0246F2DDF288}">
      <text>
        <r>
          <rPr>
            <b/>
            <sz val="9"/>
            <color indexed="81"/>
            <rFont val="Tahoma"/>
            <family val="2"/>
          </rPr>
          <t>Kelvin Oh:</t>
        </r>
        <r>
          <rPr>
            <sz val="9"/>
            <color indexed="81"/>
            <rFont val="Tahoma"/>
            <family val="2"/>
          </rPr>
          <t xml:space="preserve">
VEON model, not like for like with 2023</t>
        </r>
      </text>
    </comment>
    <comment ref="J539" authorId="0" shapeId="0" xr:uid="{D6C4793D-66F4-4659-9640-B50137F9D02B}">
      <text>
        <r>
          <rPr>
            <b/>
            <sz val="9"/>
            <color indexed="81"/>
            <rFont val="Tahoma"/>
            <family val="2"/>
          </rPr>
          <t>Kelvin Oh:</t>
        </r>
        <r>
          <rPr>
            <sz val="9"/>
            <color indexed="81"/>
            <rFont val="Tahoma"/>
            <family val="2"/>
          </rPr>
          <t xml:space="preserve">
without Uklon</t>
        </r>
      </text>
    </comment>
    <comment ref="E572" authorId="0" shapeId="0" xr:uid="{2B543CFB-F513-4F2B-9FE4-17485D8448B9}">
      <text>
        <r>
          <rPr>
            <b/>
            <sz val="9"/>
            <color indexed="81"/>
            <rFont val="Tahoma"/>
            <family val="2"/>
          </rPr>
          <t>Kelvin Oh:</t>
        </r>
        <r>
          <rPr>
            <sz val="9"/>
            <color indexed="81"/>
            <rFont val="Tahoma"/>
            <family val="2"/>
          </rPr>
          <t xml:space="preserve">
VEON model, not like for like with 2023</t>
        </r>
      </text>
    </comment>
    <comment ref="F572" authorId="0" shapeId="0" xr:uid="{514DEF5E-CE48-4DB8-BB60-44766A44CD7E}">
      <text>
        <r>
          <rPr>
            <b/>
            <sz val="9"/>
            <color indexed="81"/>
            <rFont val="Tahoma"/>
            <family val="2"/>
          </rPr>
          <t>Kelvin Oh:</t>
        </r>
        <r>
          <rPr>
            <sz val="9"/>
            <color indexed="81"/>
            <rFont val="Tahoma"/>
            <family val="2"/>
          </rPr>
          <t xml:space="preserve">
VEON model, not like for like with 2023</t>
        </r>
      </text>
    </comment>
    <comment ref="G572" authorId="0" shapeId="0" xr:uid="{E589710D-6B04-408B-9FEC-47DF754109FC}">
      <text>
        <r>
          <rPr>
            <b/>
            <sz val="9"/>
            <color indexed="81"/>
            <rFont val="Tahoma"/>
            <family val="2"/>
          </rPr>
          <t>Kelvin Oh:</t>
        </r>
        <r>
          <rPr>
            <sz val="9"/>
            <color indexed="81"/>
            <rFont val="Tahoma"/>
            <family val="2"/>
          </rPr>
          <t xml:space="preserve">
VEON model, not like for like with 2023</t>
        </r>
      </text>
    </comment>
    <comment ref="E583" authorId="0" shapeId="0" xr:uid="{733626F3-4DB4-4DE6-8F5D-C60FDD707D78}">
      <text>
        <r>
          <rPr>
            <b/>
            <sz val="9"/>
            <color indexed="81"/>
            <rFont val="Tahoma"/>
            <family val="2"/>
          </rPr>
          <t>Kelvin Oh:</t>
        </r>
        <r>
          <rPr>
            <sz val="9"/>
            <color indexed="81"/>
            <rFont val="Tahoma"/>
            <family val="2"/>
          </rPr>
          <t xml:space="preserve">
VEON model, not like for like with 2023</t>
        </r>
      </text>
    </comment>
    <comment ref="F583" authorId="0" shapeId="0" xr:uid="{7075A46D-3C8D-49A2-BE2C-FF4F6E49F14C}">
      <text>
        <r>
          <rPr>
            <b/>
            <sz val="9"/>
            <color indexed="81"/>
            <rFont val="Tahoma"/>
            <family val="2"/>
          </rPr>
          <t>Kelvin Oh:</t>
        </r>
        <r>
          <rPr>
            <sz val="9"/>
            <color indexed="81"/>
            <rFont val="Tahoma"/>
            <family val="2"/>
          </rPr>
          <t xml:space="preserve">
VEON model, not like for like with 2023</t>
        </r>
      </text>
    </comment>
    <comment ref="G583" authorId="0" shapeId="0" xr:uid="{C2A2315D-1E2F-400D-B687-D0E531A75FD2}">
      <text>
        <r>
          <rPr>
            <b/>
            <sz val="9"/>
            <color indexed="81"/>
            <rFont val="Tahoma"/>
            <family val="2"/>
          </rPr>
          <t>Kelvin Oh:</t>
        </r>
        <r>
          <rPr>
            <sz val="9"/>
            <color indexed="81"/>
            <rFont val="Tahoma"/>
            <family val="2"/>
          </rPr>
          <t xml:space="preserve">
VEON model, not like for like with 2023</t>
        </r>
      </text>
    </comment>
    <comment ref="E604" authorId="0" shapeId="0" xr:uid="{AB188060-F861-4732-815F-2F8AB96EB9D4}">
      <text>
        <r>
          <rPr>
            <b/>
            <sz val="9"/>
            <color indexed="81"/>
            <rFont val="Tahoma"/>
            <family val="2"/>
          </rPr>
          <t>Kelvin Oh:</t>
        </r>
        <r>
          <rPr>
            <sz val="9"/>
            <color indexed="81"/>
            <rFont val="Tahoma"/>
            <family val="2"/>
          </rPr>
          <t xml:space="preserve">
VEON model, not like for like with 2023</t>
        </r>
      </text>
    </comment>
    <comment ref="F604" authorId="0" shapeId="0" xr:uid="{C91FD772-E8B9-494A-9486-1456231D5271}">
      <text>
        <r>
          <rPr>
            <b/>
            <sz val="9"/>
            <color indexed="81"/>
            <rFont val="Tahoma"/>
            <family val="2"/>
          </rPr>
          <t>Kelvin Oh:</t>
        </r>
        <r>
          <rPr>
            <sz val="9"/>
            <color indexed="81"/>
            <rFont val="Tahoma"/>
            <family val="2"/>
          </rPr>
          <t xml:space="preserve">
VEON model, not like for like with 2023</t>
        </r>
      </text>
    </comment>
    <comment ref="G604" authorId="0" shapeId="0" xr:uid="{66E96340-2EE7-47A3-B7A2-0C33FA346984}">
      <text>
        <r>
          <rPr>
            <b/>
            <sz val="9"/>
            <color indexed="81"/>
            <rFont val="Tahoma"/>
            <family val="2"/>
          </rPr>
          <t>Kelvin Oh:</t>
        </r>
        <r>
          <rPr>
            <sz val="9"/>
            <color indexed="81"/>
            <rFont val="Tahoma"/>
            <family val="2"/>
          </rPr>
          <t xml:space="preserve">
VEON model, not like for like with 2023</t>
        </r>
      </text>
    </comment>
    <comment ref="J606" authorId="0" shapeId="0" xr:uid="{EF7C5C31-E114-424A-99B5-61762C99170E}">
      <text>
        <r>
          <rPr>
            <b/>
            <sz val="9"/>
            <color indexed="81"/>
            <rFont val="Tahoma"/>
            <family val="2"/>
          </rPr>
          <t>Kelvin Oh:</t>
        </r>
        <r>
          <rPr>
            <sz val="9"/>
            <color indexed="81"/>
            <rFont val="Tahoma"/>
            <family val="2"/>
          </rPr>
          <t xml:space="preserve">
without Uklon</t>
        </r>
      </text>
    </comment>
    <comment ref="E650" authorId="0" shapeId="0" xr:uid="{E6873128-B9D0-4C3E-ACC2-44D4A9356EF8}">
      <text>
        <r>
          <rPr>
            <b/>
            <sz val="9"/>
            <color indexed="81"/>
            <rFont val="Tahoma"/>
            <family val="2"/>
          </rPr>
          <t>Kelvin Oh:</t>
        </r>
        <r>
          <rPr>
            <sz val="9"/>
            <color indexed="81"/>
            <rFont val="Tahoma"/>
            <family val="2"/>
          </rPr>
          <t xml:space="preserve">
VEON model, not like for like with 2023</t>
        </r>
      </text>
    </comment>
    <comment ref="F650" authorId="0" shapeId="0" xr:uid="{23959CA6-29D6-461D-A65C-AB9F80A240EE}">
      <text>
        <r>
          <rPr>
            <b/>
            <sz val="9"/>
            <color indexed="81"/>
            <rFont val="Tahoma"/>
            <family val="2"/>
          </rPr>
          <t>Kelvin Oh:</t>
        </r>
        <r>
          <rPr>
            <sz val="9"/>
            <color indexed="81"/>
            <rFont val="Tahoma"/>
            <family val="2"/>
          </rPr>
          <t xml:space="preserve">
VEON model, not like for like with 2023</t>
        </r>
      </text>
    </comment>
    <comment ref="G650" authorId="0" shapeId="0" xr:uid="{BB2F4F13-9359-4219-8D14-A22FC25B0538}">
      <text>
        <r>
          <rPr>
            <b/>
            <sz val="9"/>
            <color indexed="81"/>
            <rFont val="Tahoma"/>
            <family val="2"/>
          </rPr>
          <t>Kelvin Oh:</t>
        </r>
        <r>
          <rPr>
            <sz val="9"/>
            <color indexed="81"/>
            <rFont val="Tahoma"/>
            <family val="2"/>
          </rPr>
          <t xml:space="preserve">
VEON model, not like for like with 2023</t>
        </r>
      </text>
    </comment>
    <comment ref="J687" authorId="0" shapeId="0" xr:uid="{3657477D-B1A6-40E0-8491-90BCFD9F60A7}">
      <text>
        <r>
          <rPr>
            <b/>
            <sz val="9"/>
            <color indexed="81"/>
            <rFont val="Tahoma"/>
            <family val="2"/>
          </rPr>
          <t>Kelvin Oh:</t>
        </r>
        <r>
          <rPr>
            <sz val="9"/>
            <color indexed="81"/>
            <rFont val="Tahoma"/>
            <family val="2"/>
          </rPr>
          <t xml:space="preserve">
Expect Uklon to be consolidated but added to NCA for simplicity</t>
        </r>
      </text>
    </comment>
    <comment ref="J693" authorId="0" shapeId="0" xr:uid="{AD924479-49D1-4682-9F96-1CD008AC9BE5}">
      <text>
        <r>
          <rPr>
            <b/>
            <sz val="9"/>
            <color indexed="81"/>
            <rFont val="Tahoma"/>
            <family val="2"/>
          </rPr>
          <t>Kelvin Oh:</t>
        </r>
        <r>
          <rPr>
            <sz val="9"/>
            <color indexed="81"/>
            <rFont val="Tahoma"/>
            <family val="2"/>
          </rPr>
          <t xml:space="preserve">
repayment of $578
million of debt and derivatives consisting of $561
million ofprincipal; $11
million of accrued interest; and $6
million impact of foreign exchange gainsand losses. The repayment reflects $306
million of proceeds utilized from the Loan receivablefrom VEON Amsterdam, $32
million of proceeds from receivable from VEON Amsterdamand $223
million in proceeds from cash and cash equivalents</t>
        </r>
      </text>
    </comment>
    <comment ref="H740" authorId="0" shapeId="0" xr:uid="{AEFB42C7-F922-4FC1-80A5-C78D3854F438}">
      <text>
        <r>
          <rPr>
            <b/>
            <sz val="9"/>
            <color indexed="81"/>
            <rFont val="Tahoma"/>
            <family val="2"/>
          </rPr>
          <t>Kelvin Oh:</t>
        </r>
        <r>
          <rPr>
            <sz val="9"/>
            <color indexed="81"/>
            <rFont val="Tahoma"/>
            <family val="2"/>
          </rPr>
          <t xml:space="preserve">
VEON model</t>
        </r>
      </text>
    </comment>
    <comment ref="I740" authorId="0" shapeId="0" xr:uid="{EBF00B61-1344-40AD-AD94-220F91AE9D21}">
      <text>
        <r>
          <rPr>
            <b/>
            <sz val="9"/>
            <color indexed="81"/>
            <rFont val="Tahoma"/>
            <family val="2"/>
          </rPr>
          <t>Kelvin Oh:</t>
        </r>
        <r>
          <rPr>
            <sz val="9"/>
            <color indexed="81"/>
            <rFont val="Tahoma"/>
            <family val="2"/>
          </rPr>
          <t xml:space="preserve">
+USD34m in 2024</t>
        </r>
      </text>
    </comment>
    <comment ref="J773" authorId="0" shapeId="0" xr:uid="{BD3CB4B3-3FFF-4E8F-84DC-5517B8CA19F7}">
      <text>
        <r>
          <rPr>
            <b/>
            <sz val="9"/>
            <color indexed="81"/>
            <rFont val="Tahoma"/>
            <family val="2"/>
          </rPr>
          <t>Kelvin Oh:</t>
        </r>
        <r>
          <rPr>
            <sz val="9"/>
            <color indexed="81"/>
            <rFont val="Tahoma"/>
            <family val="2"/>
          </rPr>
          <t xml:space="preserve">
From 1H25 presentation, net cash
$155.2m for 97% stake in Uklon
https://www.veon.com/fileadmin/user_upload/investors/kyivstar/Kyivstar_2Q2025_Investor_Presentation_August_2025.pdf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C12" authorId="0" shapeId="0" xr:uid="{A387789C-1736-4658-BE08-B62D3FAD77DC}">
      <text>
        <r>
          <rPr>
            <b/>
            <sz val="9"/>
            <color indexed="81"/>
            <rFont val="Tahoma"/>
            <family val="2"/>
          </rPr>
          <t>Kelvin Oh:</t>
        </r>
        <r>
          <rPr>
            <sz val="9"/>
            <color indexed="81"/>
            <rFont val="Tahoma"/>
            <family val="2"/>
          </rPr>
          <t xml:space="preserve">
US 10y yield</t>
        </r>
      </text>
    </comment>
    <comment ref="C13" authorId="0" shapeId="0" xr:uid="{BC841B5A-802C-47AD-813F-E79F1600C8B5}">
      <text>
        <r>
          <rPr>
            <b/>
            <sz val="9"/>
            <color indexed="81"/>
            <rFont val="Tahoma"/>
            <family val="2"/>
          </rPr>
          <t>Kelvin Oh:</t>
        </r>
        <r>
          <rPr>
            <sz val="9"/>
            <color indexed="81"/>
            <rFont val="Tahoma"/>
            <family val="2"/>
          </rPr>
          <t xml:space="preserve">
https://pages.stern.nyu.edu/~adamodar/New_Home_Page/datafile/ctryprem.html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K204" authorId="0" shapeId="0" xr:uid="{3E6D6A9B-4AFA-43C2-9753-8826C6885F07}">
      <text>
        <r>
          <rPr>
            <b/>
            <sz val="9"/>
            <color indexed="81"/>
            <rFont val="Tahoma"/>
            <family val="2"/>
          </rPr>
          <t>Kelvin Oh:</t>
        </r>
        <r>
          <rPr>
            <sz val="9"/>
            <color indexed="81"/>
            <rFont val="Tahoma"/>
            <family val="2"/>
          </rPr>
          <t xml:space="preserve">
VEON model</t>
        </r>
      </text>
    </comment>
    <comment ref="L204" authorId="0" shapeId="0" xr:uid="{D9D261C9-C626-40E5-B978-539FC1D62CD7}">
      <text>
        <r>
          <rPr>
            <b/>
            <sz val="9"/>
            <color indexed="81"/>
            <rFont val="Tahoma"/>
            <family val="2"/>
          </rPr>
          <t>Kelvin Oh:</t>
        </r>
        <r>
          <rPr>
            <sz val="9"/>
            <color indexed="81"/>
            <rFont val="Tahoma"/>
            <family val="2"/>
          </rPr>
          <t xml:space="preserve">
+USD34m in 2024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C134" authorId="0" shapeId="0" xr:uid="{B940BDF4-AA66-4BDE-8298-DBF7682FD8DE}">
      <text>
        <r>
          <rPr>
            <b/>
            <sz val="9"/>
            <color indexed="81"/>
            <rFont val="Tahoma"/>
            <family val="2"/>
          </rPr>
          <t>Kelvin Oh:</t>
        </r>
        <r>
          <rPr>
            <sz val="9"/>
            <color indexed="81"/>
            <rFont val="Tahoma"/>
            <family val="2"/>
          </rPr>
          <t xml:space="preserve">
155 for 97%</t>
        </r>
      </text>
    </comment>
    <comment ref="C135" authorId="0" shapeId="0" xr:uid="{1BC53C4D-71A4-43CB-9814-B56630C91897}">
      <text>
        <r>
          <rPr>
            <b/>
            <sz val="9"/>
            <color indexed="81"/>
            <rFont val="Tahoma"/>
            <family val="2"/>
          </rPr>
          <t>Kelvin Oh:</t>
        </r>
        <r>
          <rPr>
            <sz val="9"/>
            <color indexed="81"/>
            <rFont val="Tahoma"/>
            <family val="2"/>
          </rPr>
          <t xml:space="preserve">
assume 27% margin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S18" authorId="0" shapeId="0" xr:uid="{F6D75A8A-AD06-477A-AF01-84D641B9317C}">
      <text>
        <r>
          <rPr>
            <b/>
            <sz val="9"/>
            <color indexed="81"/>
            <rFont val="Tahoma"/>
            <family val="2"/>
          </rPr>
          <t>Kelvin Oh:</t>
        </r>
        <r>
          <rPr>
            <sz val="9"/>
            <color indexed="81"/>
            <rFont val="Tahoma"/>
            <family val="2"/>
          </rPr>
          <t xml:space="preserve">
estimated based on 
1H24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H11" authorId="0" shapeId="0" xr:uid="{B313EC76-9526-4987-90DA-8BBD6CCE058E}">
      <text>
        <r>
          <rPr>
            <b/>
            <sz val="9"/>
            <color indexed="81"/>
            <rFont val="Tahoma"/>
            <family val="2"/>
          </rPr>
          <t>Kelvin Oh:</t>
        </r>
        <r>
          <rPr>
            <sz val="9"/>
            <color indexed="81"/>
            <rFont val="Tahoma"/>
            <family val="2"/>
          </rPr>
          <t xml:space="preserve">
200 when switching to Vodafone, standard is 270</t>
        </r>
      </text>
    </comment>
    <comment ref="I11" authorId="0" shapeId="0" xr:uid="{328002B3-68D4-49F1-A142-EF18BF84010C}">
      <text>
        <r>
          <rPr>
            <b/>
            <sz val="9"/>
            <color indexed="81"/>
            <rFont val="Tahoma"/>
            <family val="2"/>
          </rPr>
          <t>Kelvin Oh:</t>
        </r>
        <r>
          <rPr>
            <sz val="9"/>
            <color indexed="81"/>
            <rFont val="Tahoma"/>
            <family val="2"/>
          </rPr>
          <t xml:space="preserve">
200 when switching to Vodafone, standard is 270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F43" authorId="0" shapeId="0" xr:uid="{FA96FFCD-DD71-42E4-AC42-9146CEE5C759}">
      <text>
        <r>
          <rPr>
            <b/>
            <sz val="9"/>
            <color indexed="81"/>
            <rFont val="Tahoma"/>
            <family val="2"/>
          </rPr>
          <t>Kelvin Oh:</t>
        </r>
        <r>
          <rPr>
            <sz val="9"/>
            <color indexed="81"/>
            <rFont val="Tahoma"/>
            <family val="2"/>
          </rPr>
          <t xml:space="preserve">
97% for USD 155.2m</t>
        </r>
      </text>
    </comment>
    <comment ref="J43" authorId="0" shapeId="0" xr:uid="{122E7F67-135C-4A5A-80E1-E4121DCF5392}">
      <text>
        <r>
          <rPr>
            <b/>
            <sz val="9"/>
            <color indexed="81"/>
            <rFont val="Tahoma"/>
            <family val="2"/>
          </rPr>
          <t>Kelvin Oh:</t>
        </r>
        <r>
          <rPr>
            <sz val="9"/>
            <color indexed="81"/>
            <rFont val="Tahoma"/>
            <family val="2"/>
          </rPr>
          <t xml:space="preserve">
reports mentioned bought at 20x EBITDA
https://odessa-journal.com/kyivstar-will-acquire-97-of-uklon-for-155-million#google_vignette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<sst xmlns="http://schemas.openxmlformats.org/spreadsheetml/2006/main" count="2638" uniqueCount="1136">
  <si>
    <t>Service revenue</t>
  </si>
  <si>
    <t>Other revenue</t>
  </si>
  <si>
    <t>Total operating revenue</t>
  </si>
  <si>
    <t>Other operating income</t>
  </si>
  <si>
    <t>Service costs</t>
  </si>
  <si>
    <t>Selling, general and administrative expenses</t>
  </si>
  <si>
    <t>Depreciation</t>
  </si>
  <si>
    <t>Amortization</t>
  </si>
  <si>
    <t>Impairment, net</t>
  </si>
  <si>
    <t>(Loss)/gain on disposal of non-current assets</t>
  </si>
  <si>
    <t>Operating profit</t>
  </si>
  <si>
    <t>Finance costs</t>
  </si>
  <si>
    <t>Finance income</t>
  </si>
  <si>
    <t>Other non-operating gain/(loss), net</t>
  </si>
  <si>
    <t>Net foreign exchange gain</t>
  </si>
  <si>
    <t>Profit before tax</t>
  </si>
  <si>
    <t>Income taxes</t>
  </si>
  <si>
    <t>Profit for the period</t>
  </si>
  <si>
    <t>Income statement</t>
  </si>
  <si>
    <t>Checks</t>
  </si>
  <si>
    <t>OP</t>
  </si>
  <si>
    <t>Net profit</t>
  </si>
  <si>
    <t>x</t>
  </si>
  <si>
    <t>Balance Sheet</t>
  </si>
  <si>
    <t>Revenue breakdown</t>
  </si>
  <si>
    <t>Mobile</t>
  </si>
  <si>
    <t>Fixed</t>
  </si>
  <si>
    <t>Others</t>
  </si>
  <si>
    <t>Total</t>
  </si>
  <si>
    <t>Key performance indicators</t>
  </si>
  <si>
    <t>Doubleplay 4G customers</t>
  </si>
  <si>
    <t>Mobile ARPU</t>
  </si>
  <si>
    <t>Mobile customers</t>
  </si>
  <si>
    <t>Multiplay customers</t>
  </si>
  <si>
    <t>Total digital monthly active users</t>
  </si>
  <si>
    <t>Capex</t>
  </si>
  <si>
    <t>Purchases of property, plant and equipment</t>
  </si>
  <si>
    <t>Purchases of intangible assets</t>
  </si>
  <si>
    <t>Less: Additions in licenses</t>
  </si>
  <si>
    <t>Less: Right-of-use assets</t>
  </si>
  <si>
    <t>Capex excl. licenses and ROU</t>
  </si>
  <si>
    <t>Assets</t>
  </si>
  <si>
    <t>Non-current assets</t>
  </si>
  <si>
    <t>Property and equipment</t>
  </si>
  <si>
    <t>Intangible assets</t>
  </si>
  <si>
    <t>Loan receivable from VEON Amsterdam</t>
  </si>
  <si>
    <t>Other assets</t>
  </si>
  <si>
    <t>Total non-current assets</t>
  </si>
  <si>
    <t>Current assets</t>
  </si>
  <si>
    <t>Inventories</t>
  </si>
  <si>
    <t>Trade and other receivables</t>
  </si>
  <si>
    <t>Other financial assets – VEON Ltd. shares</t>
  </si>
  <si>
    <t>Investments and derivatives</t>
  </si>
  <si>
    <t>Cash and cash equivalents</t>
  </si>
  <si>
    <t>Total current assets</t>
  </si>
  <si>
    <t>Total assets</t>
  </si>
  <si>
    <t>Net investment and liabilities</t>
  </si>
  <si>
    <t>Net investment</t>
  </si>
  <si>
    <t>Net investment attributable to equity owners of the parent</t>
  </si>
  <si>
    <t>Total net investment</t>
  </si>
  <si>
    <t>Non-current liabilities</t>
  </si>
  <si>
    <t>Debt and derivatives</t>
  </si>
  <si>
    <t>Provisions</t>
  </si>
  <si>
    <t>Deferred tax liabilities</t>
  </si>
  <si>
    <t>Other liabilities</t>
  </si>
  <si>
    <t>Total non-current liabilities</t>
  </si>
  <si>
    <t>Current liabilities</t>
  </si>
  <si>
    <t>Trade and other payables</t>
  </si>
  <si>
    <t>Current income tax payables</t>
  </si>
  <si>
    <t>Total current liabilities</t>
  </si>
  <si>
    <t>Total net investment and liabilities</t>
  </si>
  <si>
    <t>Asset</t>
  </si>
  <si>
    <t>Liability</t>
  </si>
  <si>
    <t>Balance</t>
  </si>
  <si>
    <t>Cash flow statement</t>
  </si>
  <si>
    <t>Operating activities</t>
  </si>
  <si>
    <t>Depreciation, amortization and impairment loss</t>
  </si>
  <si>
    <t>Changes in trade, other receivables and prepayments</t>
  </si>
  <si>
    <t>Changes in inventories</t>
  </si>
  <si>
    <t>Changes in trade and other payables</t>
  </si>
  <si>
    <t>Changes in provisions, pensions and other</t>
  </si>
  <si>
    <t>Interest paid</t>
  </si>
  <si>
    <t>Interest received</t>
  </si>
  <si>
    <t>Income tax paid</t>
  </si>
  <si>
    <t>Net cash flows from operating activities</t>
  </si>
  <si>
    <t>Non-cash adjustments to reconcile profit before tax to net cash flows</t>
  </si>
  <si>
    <t>Investing activities</t>
  </si>
  <si>
    <t>Purchase of property, plant and equipment</t>
  </si>
  <si>
    <t>Purchase of intangible assets</t>
  </si>
  <si>
    <t>Payments on deposits</t>
  </si>
  <si>
    <t>(Outflows)/Inflows on loans granted</t>
  </si>
  <si>
    <t>Inflow/(Investment) in financial assets</t>
  </si>
  <si>
    <t>Other proceeds from investing activities, net</t>
  </si>
  <si>
    <t>Net cash flows used in investing activities</t>
  </si>
  <si>
    <t>Financing activities</t>
  </si>
  <si>
    <t>Repayment of debt</t>
  </si>
  <si>
    <t>Investment in shares of VEON Ltd.</t>
  </si>
  <si>
    <t>Net cash flows used in financing activities</t>
  </si>
  <si>
    <t>Net increase/(decrease) in cash and cash equivalents</t>
  </si>
  <si>
    <t>Net foreign exchange difference</t>
  </si>
  <si>
    <t>Cash and cash equivalents at beginning of period</t>
  </si>
  <si>
    <t>Cash and cash equivalents at end of period</t>
  </si>
  <si>
    <t>Check</t>
  </si>
  <si>
    <t>CFO</t>
  </si>
  <si>
    <t>CFI</t>
  </si>
  <si>
    <t>CFF</t>
  </si>
  <si>
    <t>Cash</t>
  </si>
  <si>
    <t>Historical inputs</t>
  </si>
  <si>
    <t>In US$ m, unless otherwise stated</t>
  </si>
  <si>
    <t>USD</t>
  </si>
  <si>
    <t>Adjusted EBITDA reconciliation</t>
  </si>
  <si>
    <t>"We define Adjusted EBITDA as earnings before interest, tax, depreciation, amortization, impairment, gain/losson disposals of non-currentassets, net foreign exchange gain and other non-operatinggains/losses, net."</t>
  </si>
  <si>
    <t>Adjusted EBITDA</t>
  </si>
  <si>
    <t>+ Depreciation</t>
  </si>
  <si>
    <t>+ Amortisation</t>
  </si>
  <si>
    <t>+ Impairment, net</t>
  </si>
  <si>
    <t>KPIs</t>
  </si>
  <si>
    <t>Mobile subscribers</t>
  </si>
  <si>
    <t>Kyivstar</t>
  </si>
  <si>
    <t>Broadband subscribers</t>
  </si>
  <si>
    <t>Digital revenue</t>
  </si>
  <si>
    <t>Financials</t>
  </si>
  <si>
    <t>ROIC</t>
  </si>
  <si>
    <t>Revenue</t>
  </si>
  <si>
    <t>EBITDA</t>
  </si>
  <si>
    <t>Revenue drivers</t>
  </si>
  <si>
    <t>Cost drivers</t>
  </si>
  <si>
    <t>ASSUMPTIONS</t>
  </si>
  <si>
    <t>BALANCE SHEET</t>
  </si>
  <si>
    <t>CASH FLOW STATEMENT</t>
  </si>
  <si>
    <t>Subscriber share</t>
  </si>
  <si>
    <t>Subscribers</t>
  </si>
  <si>
    <t>Ukrtelecom</t>
  </si>
  <si>
    <t>Lifecell</t>
  </si>
  <si>
    <t>Thousands</t>
  </si>
  <si>
    <t>%</t>
  </si>
  <si>
    <t>Vodafone Ukraine</t>
  </si>
  <si>
    <t>ARPU</t>
  </si>
  <si>
    <t>Average subscribers</t>
  </si>
  <si>
    <t>Mobile service revenue</t>
  </si>
  <si>
    <t>Calculated mobile service revenue</t>
  </si>
  <si>
    <t>Reported Mobile service revenue</t>
  </si>
  <si>
    <t>% YoY</t>
  </si>
  <si>
    <t>Net additions</t>
  </si>
  <si>
    <t>USD/month</t>
  </si>
  <si>
    <t>m</t>
  </si>
  <si>
    <t>Share changes</t>
  </si>
  <si>
    <t>Ukraine population</t>
  </si>
  <si>
    <t>% change</t>
  </si>
  <si>
    <t>Mobile penetration</t>
  </si>
  <si>
    <t>Change in penetration</t>
  </si>
  <si>
    <t>Comments</t>
  </si>
  <si>
    <t>Should we expect declining due to war?</t>
  </si>
  <si>
    <t>Fixed service revenue</t>
  </si>
  <si>
    <t>EBITDA margin</t>
  </si>
  <si>
    <t>EBIT margin</t>
  </si>
  <si>
    <t>No. of households</t>
  </si>
  <si>
    <t>Average household size</t>
  </si>
  <si>
    <t>FBB penetration</t>
  </si>
  <si>
    <t>Fixed ARPU</t>
  </si>
  <si>
    <t>Legacy with declining share</t>
  </si>
  <si>
    <t>Calculated fixed service revenue</t>
  </si>
  <si>
    <t>Digital</t>
  </si>
  <si>
    <t>Uklon - acquired in March 2025 for USD155.2m for 97% stake</t>
  </si>
  <si>
    <t>Helsi</t>
  </si>
  <si>
    <t>Kyivstar TV</t>
  </si>
  <si>
    <t>B2B/Cloud</t>
  </si>
  <si>
    <t>Uklon</t>
  </si>
  <si>
    <t>Direct Digital revenue</t>
  </si>
  <si>
    <t>Growth</t>
  </si>
  <si>
    <t>% of total revenue</t>
  </si>
  <si>
    <t>MAU</t>
  </si>
  <si>
    <t>MAU as % of registered users</t>
  </si>
  <si>
    <t>% of population</t>
  </si>
  <si>
    <t>No. of appointments</t>
  </si>
  <si>
    <t>As % of registered users</t>
  </si>
  <si>
    <t>No. of registered users</t>
  </si>
  <si>
    <t>Helsi revenue</t>
  </si>
  <si>
    <t>Guidance</t>
  </si>
  <si>
    <t>23-27 CAGR in LLC: 50%</t>
  </si>
  <si>
    <t>Kyivstar TV revenue</t>
  </si>
  <si>
    <t>Enterprise</t>
  </si>
  <si>
    <t>B2B/Cloud revenue</t>
  </si>
  <si>
    <t>% of GDP</t>
  </si>
  <si>
    <t>KPIs - Uklon</t>
  </si>
  <si>
    <t>No. of rides</t>
  </si>
  <si>
    <t>No. of deliveries</t>
  </si>
  <si>
    <t>Partner/drivers</t>
  </si>
  <si>
    <t>Cities covered</t>
  </si>
  <si>
    <t>Ride-hailing market in Ukraine</t>
  </si>
  <si>
    <t>Ukraine population, '000</t>
  </si>
  <si>
    <t>Market user penetration</t>
  </si>
  <si>
    <t>Implied no. of ride hailing users, 000</t>
  </si>
  <si>
    <t>Uklon's market share</t>
  </si>
  <si>
    <t>Uklon's MAU, 000</t>
  </si>
  <si>
    <t xml:space="preserve">No. of rides per MAU per year </t>
  </si>
  <si>
    <t>Average booking per trip</t>
  </si>
  <si>
    <t>Gross bookings</t>
  </si>
  <si>
    <t>Take rate</t>
  </si>
  <si>
    <t>Uklon revenue</t>
  </si>
  <si>
    <t>&gt;3m</t>
  </si>
  <si>
    <t>&gt;100k</t>
  </si>
  <si>
    <t>Network quality</t>
  </si>
  <si>
    <t>Mbps</t>
  </si>
  <si>
    <t>4G population coverage in Ukrainian controlled territories</t>
  </si>
  <si>
    <t>% of mobile subs</t>
  </si>
  <si>
    <t>As % of revenue</t>
  </si>
  <si>
    <t>Balance sheet drivers</t>
  </si>
  <si>
    <t>PPE schedule</t>
  </si>
  <si>
    <t>BOP</t>
  </si>
  <si>
    <t>+ Capex</t>
  </si>
  <si>
    <t>- Depreciation</t>
  </si>
  <si>
    <t>EOP</t>
  </si>
  <si>
    <t>Debt schedule</t>
  </si>
  <si>
    <t>Retained earnings</t>
  </si>
  <si>
    <t>+ Net income</t>
  </si>
  <si>
    <t>- Dividends</t>
  </si>
  <si>
    <t>- Share buybacks</t>
  </si>
  <si>
    <t>+ Share issuance</t>
  </si>
  <si>
    <t>LT debt</t>
  </si>
  <si>
    <t>ST debt</t>
  </si>
  <si>
    <t>Total debt</t>
  </si>
  <si>
    <t>Change</t>
  </si>
  <si>
    <t>Interest expense as % of BOP debt</t>
  </si>
  <si>
    <t>Tax rate</t>
  </si>
  <si>
    <t>Working Capital schedule</t>
  </si>
  <si>
    <t>Intangible assets schedule</t>
  </si>
  <si>
    <t>+ Purchase of intangible assets</t>
  </si>
  <si>
    <t>- Amortisation</t>
  </si>
  <si>
    <t>Trade receivables</t>
  </si>
  <si>
    <t>Penetation</t>
  </si>
  <si>
    <t>Fixed mobile convergence</t>
  </si>
  <si>
    <t>OTT TV</t>
  </si>
  <si>
    <t>EBIT</t>
  </si>
  <si>
    <t>(-) Cash taxes</t>
  </si>
  <si>
    <t>NOPAT</t>
  </si>
  <si>
    <t>Invested capital</t>
  </si>
  <si>
    <t>(-) Current liabilities</t>
  </si>
  <si>
    <t>+ ST debt</t>
  </si>
  <si>
    <t>Intangible capex as % of sales</t>
  </si>
  <si>
    <t>Capex as % of sales</t>
  </si>
  <si>
    <t>% of sales</t>
  </si>
  <si>
    <t>Intangible capex (includes spectrum)</t>
  </si>
  <si>
    <t>Amortisation</t>
  </si>
  <si>
    <t>As % of sales</t>
  </si>
  <si>
    <t>Other non-current assets</t>
  </si>
  <si>
    <t>Other current assets</t>
  </si>
  <si>
    <t>LT Provisions</t>
  </si>
  <si>
    <t>Other LT liabilities</t>
  </si>
  <si>
    <t>Liabilities</t>
  </si>
  <si>
    <t>Days Inventory Outstanding</t>
  </si>
  <si>
    <t>Days Sales Outstanding</t>
  </si>
  <si>
    <t>Days Payable Outstanding</t>
  </si>
  <si>
    <t>Other current liabilities</t>
  </si>
  <si>
    <t>Interest rate</t>
  </si>
  <si>
    <t>Interest income</t>
  </si>
  <si>
    <t>Interest expense</t>
  </si>
  <si>
    <t>Changes in Working Capital</t>
  </si>
  <si>
    <t>Cash flow from Operations</t>
  </si>
  <si>
    <t>Purchase of PPE</t>
  </si>
  <si>
    <t>Acquisitions</t>
  </si>
  <si>
    <t>Cash flow from Investing</t>
  </si>
  <si>
    <t>Shares issued</t>
  </si>
  <si>
    <t>Share buyback</t>
  </si>
  <si>
    <t>Dividends</t>
  </si>
  <si>
    <t>Dividends to NCI</t>
  </si>
  <si>
    <t>Cash flow from Financing</t>
  </si>
  <si>
    <t>FX</t>
  </si>
  <si>
    <t>Net change in cash</t>
  </si>
  <si>
    <t>Minimum cash</t>
  </si>
  <si>
    <t>Repay ST debt first, excess goes to LT debt. Any further excess goes to cash</t>
  </si>
  <si>
    <t>Excess cash flow before debt repayment</t>
  </si>
  <si>
    <t>Net debt</t>
  </si>
  <si>
    <t>Gross debt</t>
  </si>
  <si>
    <t>(-) Cash</t>
  </si>
  <si>
    <t>Net debt/(cash)</t>
  </si>
  <si>
    <t>Net profit margin</t>
  </si>
  <si>
    <t>Change in ST debt</t>
  </si>
  <si>
    <t>Change in LT debt</t>
  </si>
  <si>
    <t>Change in debt</t>
  </si>
  <si>
    <t>EFCF</t>
  </si>
  <si>
    <t>Reduction in shares</t>
  </si>
  <si>
    <t>Shares outstanding</t>
  </si>
  <si>
    <t>% of Ukraine population</t>
  </si>
  <si>
    <t>UAH/USD</t>
  </si>
  <si>
    <t>% of Digital revenue</t>
  </si>
  <si>
    <t>Estimated Digital revenue breakdown</t>
  </si>
  <si>
    <t>Source:</t>
  </si>
  <si>
    <t>https://opendatabot.ua/c/44293344</t>
  </si>
  <si>
    <t>Number of employees</t>
  </si>
  <si>
    <t>UAH</t>
  </si>
  <si>
    <t>Growth %</t>
  </si>
  <si>
    <t>Revenue per employee</t>
  </si>
  <si>
    <t>Debt Schedule</t>
  </si>
  <si>
    <t>Bookings, m</t>
  </si>
  <si>
    <t>USD m</t>
  </si>
  <si>
    <t>CMD: reported 30% CAGR between 2021 and 2024, USD</t>
  </si>
  <si>
    <t>Cash conversion cycle</t>
  </si>
  <si>
    <t>Net income</t>
  </si>
  <si>
    <t>Payout ratio</t>
  </si>
  <si>
    <t>WC</t>
  </si>
  <si>
    <t>Total assets ex. Cash</t>
  </si>
  <si>
    <t>Excess cash driving ROIC lower. Can use operational cash as alternative</t>
  </si>
  <si>
    <t>"Captured within other assets</t>
  </si>
  <si>
    <t>"Captured within other assets"</t>
  </si>
  <si>
    <t>Basic EPS</t>
  </si>
  <si>
    <t>Scenario</t>
  </si>
  <si>
    <t>Scenarios</t>
  </si>
  <si>
    <t>LIVE</t>
  </si>
  <si>
    <t>Base</t>
  </si>
  <si>
    <t>Other operating income as % of sales</t>
  </si>
  <si>
    <t>Service costs as % of sales</t>
  </si>
  <si>
    <t>Selling, general and administrative expenses as % of sales</t>
  </si>
  <si>
    <t>Bull</t>
  </si>
  <si>
    <t>PPE capex as % of sales</t>
  </si>
  <si>
    <t>Population x Mobile penetration</t>
  </si>
  <si>
    <t>Key driver</t>
  </si>
  <si>
    <t>MOBILE</t>
  </si>
  <si>
    <t>DIGITAL</t>
  </si>
  <si>
    <t>Kyivstar TV MAU</t>
  </si>
  <si>
    <t>Kyivstar TV MAU as % of Pop</t>
  </si>
  <si>
    <t>Digital MAU</t>
  </si>
  <si>
    <t>VEON trading updates</t>
  </si>
  <si>
    <t>1Q23</t>
  </si>
  <si>
    <t>2Q23</t>
  </si>
  <si>
    <t>3Q23</t>
  </si>
  <si>
    <t>4Q23</t>
  </si>
  <si>
    <t>1Q24</t>
  </si>
  <si>
    <t>2Q24</t>
  </si>
  <si>
    <t>3Q24</t>
  </si>
  <si>
    <t>4Q24</t>
  </si>
  <si>
    <t>1Q25</t>
  </si>
  <si>
    <t>Direct digital revenue , UAH m</t>
  </si>
  <si>
    <t>Total revenue, UAH m</t>
  </si>
  <si>
    <t>Workings under VEON model &gt; Ukraine market</t>
  </si>
  <si>
    <t>Helsi MAU</t>
  </si>
  <si>
    <t>Helsi MAU as % of Pop</t>
  </si>
  <si>
    <t>Estimated Helsi ARPU - US$</t>
  </si>
  <si>
    <t>DCF</t>
  </si>
  <si>
    <t>Assumptions</t>
  </si>
  <si>
    <t>Coporate Tax rate</t>
  </si>
  <si>
    <t>Terminal growth</t>
  </si>
  <si>
    <t>WACC</t>
  </si>
  <si>
    <t>Equity Risk Premium</t>
  </si>
  <si>
    <t>Ke</t>
  </si>
  <si>
    <t>Average Borrowing Rate</t>
  </si>
  <si>
    <t>Corporate Tax rate</t>
  </si>
  <si>
    <t>Kd</t>
  </si>
  <si>
    <t>% Equity</t>
  </si>
  <si>
    <t>Valuation</t>
  </si>
  <si>
    <t>(-) Capex</t>
  </si>
  <si>
    <t>Years to discount</t>
  </si>
  <si>
    <t>FCF</t>
  </si>
  <si>
    <t>Discount factor</t>
  </si>
  <si>
    <t>PV FCFs</t>
  </si>
  <si>
    <t>NPV</t>
  </si>
  <si>
    <t xml:space="preserve">TV  </t>
  </si>
  <si>
    <t>PV TV</t>
  </si>
  <si>
    <t>(-) NPV of spectrum liabilities</t>
  </si>
  <si>
    <t>Beta</t>
  </si>
  <si>
    <t>Risk free rate</t>
  </si>
  <si>
    <t>(-) Cash tax</t>
  </si>
  <si>
    <t>(-) Changes in Working Capital</t>
  </si>
  <si>
    <t>FCF margin</t>
  </si>
  <si>
    <t>Valuation date</t>
  </si>
  <si>
    <t>Capital structure</t>
  </si>
  <si>
    <t>Debt</t>
  </si>
  <si>
    <t>Equity</t>
  </si>
  <si>
    <t>Capital</t>
  </si>
  <si>
    <t>Enterprise Value</t>
  </si>
  <si>
    <t>(-) Debt</t>
  </si>
  <si>
    <t>+ Cash</t>
  </si>
  <si>
    <t>Implied Equity Value</t>
  </si>
  <si>
    <t>Unlevered FCF</t>
  </si>
  <si>
    <t>Ticker</t>
  </si>
  <si>
    <t>Company</t>
  </si>
  <si>
    <t>+ Dividends from associates</t>
  </si>
  <si>
    <t>(-) Non-controlling interests</t>
  </si>
  <si>
    <t>(-) Net interest costs</t>
  </si>
  <si>
    <t>(-) Lease payments</t>
  </si>
  <si>
    <t>Levered FCF</t>
  </si>
  <si>
    <t>(-) Taxes paid</t>
  </si>
  <si>
    <t>Difference due to tax paid vs cash taxes</t>
  </si>
  <si>
    <t>Enterprise value</t>
  </si>
  <si>
    <t>KEY FINANCIALS</t>
  </si>
  <si>
    <t>Class a redeemable</t>
  </si>
  <si>
    <t>Class a and b non-redeemable</t>
  </si>
  <si>
    <t>Shares</t>
  </si>
  <si>
    <t>Average share price</t>
  </si>
  <si>
    <t>Target price</t>
  </si>
  <si>
    <t>/Shares outstanding</t>
  </si>
  <si>
    <t>Adjustments</t>
  </si>
  <si>
    <t xml:space="preserve">Digital  </t>
  </si>
  <si>
    <t>Implied telco revenue</t>
  </si>
  <si>
    <t xml:space="preserve">Service revenue </t>
  </si>
  <si>
    <t>UAH/month</t>
  </si>
  <si>
    <t>Starlink deal</t>
  </si>
  <si>
    <t>Estimated population</t>
  </si>
  <si>
    <t>Worldbank</t>
  </si>
  <si>
    <t>Company reported</t>
  </si>
  <si>
    <t>Rest of population</t>
  </si>
  <si>
    <t>Population in occupied areas</t>
  </si>
  <si>
    <t>Reversal of non cash items:</t>
  </si>
  <si>
    <t>Long term average inflation ~8%</t>
  </si>
  <si>
    <t>INCOME STATEMENT, LOCAL CURRENCY</t>
  </si>
  <si>
    <t>INCOME STATEMENT, US DOLLARS</t>
  </si>
  <si>
    <t>UAH m</t>
  </si>
  <si>
    <t>Implied other mobile</t>
  </si>
  <si>
    <t>Implied other fixed</t>
  </si>
  <si>
    <t>ARPU in USD</t>
  </si>
  <si>
    <t>Reported fixed service revenue</t>
  </si>
  <si>
    <t>Implied service revenue breakdown:</t>
  </si>
  <si>
    <t>Per share items</t>
  </si>
  <si>
    <t>EPS</t>
  </si>
  <si>
    <t>DPS</t>
  </si>
  <si>
    <t>EFCF/share</t>
  </si>
  <si>
    <t>VALUATION MULTIPLES</t>
  </si>
  <si>
    <t>EV/Sales</t>
  </si>
  <si>
    <t>EV/Revenue</t>
  </si>
  <si>
    <t>EV/EBITDA</t>
  </si>
  <si>
    <t>P/E</t>
  </si>
  <si>
    <t>EFCF yield</t>
  </si>
  <si>
    <t xml:space="preserve">As of </t>
  </si>
  <si>
    <t>Market Cap</t>
  </si>
  <si>
    <t>Market cap</t>
  </si>
  <si>
    <t>Share price</t>
  </si>
  <si>
    <t>2026 EPS</t>
  </si>
  <si>
    <t>Target P/E</t>
  </si>
  <si>
    <t>% upside/(downside)</t>
  </si>
  <si>
    <t>Summary</t>
  </si>
  <si>
    <t>Adjusted ROIC</t>
  </si>
  <si>
    <t>Lease liabilities within debt</t>
  </si>
  <si>
    <t>Repayment of leases</t>
  </si>
  <si>
    <t>Repayment of leases as % of sales</t>
  </si>
  <si>
    <t>ROU depreciation</t>
  </si>
  <si>
    <t>Implied lease interest expense</t>
  </si>
  <si>
    <t>Mobile ARPU LLC growth</t>
  </si>
  <si>
    <t>Ukraine population growth</t>
  </si>
  <si>
    <t>Target EV/EBITDA</t>
  </si>
  <si>
    <t>FIXED</t>
  </si>
  <si>
    <t>Fixed service revenue, US$ m</t>
  </si>
  <si>
    <t>Reported Mobile service revenue - VEON model</t>
  </si>
  <si>
    <t>Reported fixed service revenue - VEON model</t>
  </si>
  <si>
    <t>Core telco revenue</t>
  </si>
  <si>
    <t>Total revenue</t>
  </si>
  <si>
    <t>US$ m</t>
  </si>
  <si>
    <t>Revenue - Helsi, US$ m</t>
  </si>
  <si>
    <t>Uklon MAU</t>
  </si>
  <si>
    <t>Uklon MAU as % of Pop</t>
  </si>
  <si>
    <t>Estimated Uklon ARPU - US$</t>
  </si>
  <si>
    <t>Revenue - Uklon, US$ m</t>
  </si>
  <si>
    <t>Description</t>
  </si>
  <si>
    <t>No.1 in Ukraine ride hailing biz, competes against Uber, Bolt and Yandex</t>
  </si>
  <si>
    <t>https://www.veon.com/newsroom/press-releases/veon-discloses-selected-key-financial-metrics-about-uklon</t>
  </si>
  <si>
    <t>Uklon Key Financial and Operational Metrics, FY 2024 (preliminary, unaudited)</t>
  </si>
  <si>
    <t>Revenue (USD mln)</t>
  </si>
  <si>
    <t>Revenue CAGR FY21 – FY24 (USD)</t>
  </si>
  <si>
    <t>Number of Rides in 2024 </t>
  </si>
  <si>
    <t>&gt; 100,000,000 </t>
  </si>
  <si>
    <t>Number of Deliveries in 2024 </t>
  </si>
  <si>
    <t>&gt; 3,000,000</t>
  </si>
  <si>
    <t>Partner / drivers in Ukraine, EoP</t>
  </si>
  <si>
    <t>&gt; 100,000 </t>
  </si>
  <si>
    <t>Ukrainian cities covered by Uklon services, EoP</t>
  </si>
  <si>
    <t>As % of pop</t>
  </si>
  <si>
    <t>Implied ARPU</t>
  </si>
  <si>
    <t>IN US$</t>
  </si>
  <si>
    <t>Revenue - Enterprise, US$ m</t>
  </si>
  <si>
    <t>In US$</t>
  </si>
  <si>
    <t>Digital revenue by verticals, US$ m</t>
  </si>
  <si>
    <t>Direct Digital revenue as % of sales</t>
  </si>
  <si>
    <t>QUESTIONS</t>
  </si>
  <si>
    <t>Ride hailing</t>
  </si>
  <si>
    <t>Telcos</t>
  </si>
  <si>
    <t>Sales</t>
  </si>
  <si>
    <t>UBER-US</t>
  </si>
  <si>
    <t>LYFT-US</t>
  </si>
  <si>
    <t>GOTO-ID</t>
  </si>
  <si>
    <t>GRAB-US</t>
  </si>
  <si>
    <t>This sheet contains FactSet XML data for use with this workbook's =FDS codes.  Modifying the worksheet's contents may damage the workbook's =FDS functionality.</t>
  </si>
  <si>
    <t>Uber</t>
  </si>
  <si>
    <t>Lyft</t>
  </si>
  <si>
    <t>Grab</t>
  </si>
  <si>
    <t>GoTo</t>
  </si>
  <si>
    <t>EV</t>
  </si>
  <si>
    <t>Total revenue, US$ m</t>
  </si>
  <si>
    <t>Cost of 2x Uklon</t>
  </si>
  <si>
    <t>With 2x Uklon</t>
  </si>
  <si>
    <t>Invested Capital</t>
  </si>
  <si>
    <t>Core telco</t>
  </si>
  <si>
    <t>Core telco - % YoY</t>
  </si>
  <si>
    <t>Digital - % YoY</t>
  </si>
  <si>
    <t>Capex/sales</t>
  </si>
  <si>
    <t>Base case</t>
  </si>
  <si>
    <t>Bull case</t>
  </si>
  <si>
    <t>Probability</t>
  </si>
  <si>
    <t>BASE - STATUS QUO</t>
  </si>
  <si>
    <t>BULL- WAR ENDS</t>
  </si>
  <si>
    <t>Enterprise
Value</t>
  </si>
  <si>
    <t>Net
debt</t>
  </si>
  <si>
    <t>Market
Cap</t>
  </si>
  <si>
    <t>VOD-ZA</t>
  </si>
  <si>
    <t>TIGO-US</t>
  </si>
  <si>
    <t>AMX-US</t>
  </si>
  <si>
    <t>VALUATION COMPARABLES</t>
  </si>
  <si>
    <t>Country</t>
  </si>
  <si>
    <t>Market</t>
  </si>
  <si>
    <t>Population</t>
  </si>
  <si>
    <t>Operator</t>
  </si>
  <si>
    <t>Band</t>
  </si>
  <si>
    <t>MHz</t>
  </si>
  <si>
    <t>MHz-Pop</t>
  </si>
  <si>
    <t>TDD/FDD</t>
  </si>
  <si>
    <t>Ukraine</t>
  </si>
  <si>
    <t>national</t>
  </si>
  <si>
    <t>FDD</t>
  </si>
  <si>
    <t>3Mob</t>
  </si>
  <si>
    <t>TDD</t>
  </si>
  <si>
    <t>Regional operators</t>
  </si>
  <si>
    <t>Source: SpectrumHub</t>
  </si>
  <si>
    <t>Last updated</t>
  </si>
  <si>
    <t>Analysis</t>
  </si>
  <si>
    <t>Data</t>
  </si>
  <si>
    <t>Band, MHz</t>
  </si>
  <si>
    <t>900 MHz</t>
  </si>
  <si>
    <t>1800 MHz</t>
  </si>
  <si>
    <t>2100 MHz</t>
  </si>
  <si>
    <t>2300 MHz</t>
  </si>
  <si>
    <t>Charting</t>
  </si>
  <si>
    <t>2600 MHz</t>
  </si>
  <si>
    <t>Spectrum</t>
  </si>
  <si>
    <t>Revenue Share</t>
  </si>
  <si>
    <t>Subscribers Share</t>
  </si>
  <si>
    <t>Spectrum Share</t>
  </si>
  <si>
    <t>As of 2024</t>
  </si>
  <si>
    <t>Revenue, UAH m</t>
  </si>
  <si>
    <t>Other source</t>
  </si>
  <si>
    <t>https://www.spectrum-tracker.com/Ukraine/Kyivstar</t>
  </si>
  <si>
    <t>Kyivstar bought two lots of spectrum in the 1940-1945/2130-2135 MHz and 2355-2395 MHz bands, while Vodafone Ukraine also bought two lots in the 1945-1950/2135-2140 MHz and 2575-2610 MHz bands. Lifecell took the fifth lot for the 1935-1940/2125-2130 MHz bands.</t>
  </si>
  <si>
    <t>Difference</t>
  </si>
  <si>
    <t>Less 2x Uklon</t>
  </si>
  <si>
    <t>% of incremental revenue</t>
  </si>
  <si>
    <t>Kyivstar ROIC</t>
  </si>
  <si>
    <t>941-HKG</t>
  </si>
  <si>
    <t>728-HKG</t>
  </si>
  <si>
    <t>762-HKG</t>
  </si>
  <si>
    <t>BHARTIARTL-NSE</t>
  </si>
  <si>
    <t>500325-BOM</t>
  </si>
  <si>
    <t>IDEA-NSE</t>
  </si>
  <si>
    <t>TLKM-JKT</t>
  </si>
  <si>
    <t>ISAT-JKT</t>
  </si>
  <si>
    <t>EXCL-JKT</t>
  </si>
  <si>
    <t>6012-KLS</t>
  </si>
  <si>
    <t>6947-KLS</t>
  </si>
  <si>
    <t>6888-KLS</t>
  </si>
  <si>
    <t>ADVANC-BKK</t>
  </si>
  <si>
    <t>TRUE-BKK</t>
  </si>
  <si>
    <t>AAF-GB</t>
  </si>
  <si>
    <t>MTN-ZA</t>
  </si>
  <si>
    <t>SCOM-KE</t>
  </si>
  <si>
    <t>VEON-US</t>
  </si>
  <si>
    <t>LIlAK-US</t>
  </si>
  <si>
    <t>TIMS3-BR</t>
  </si>
  <si>
    <t>VIVT3-BR</t>
  </si>
  <si>
    <t>China Mobile</t>
  </si>
  <si>
    <t>China Telecom</t>
  </si>
  <si>
    <t>China Unicom</t>
  </si>
  <si>
    <t>Bharti Airtel</t>
  </si>
  <si>
    <t>Vodafone IDEA</t>
  </si>
  <si>
    <t>Telkom Indonesia</t>
  </si>
  <si>
    <t>Indosat</t>
  </si>
  <si>
    <t>XL Axiata</t>
  </si>
  <si>
    <t>Maxis</t>
  </si>
  <si>
    <t>CelcomDigi</t>
  </si>
  <si>
    <t>Axiata</t>
  </si>
  <si>
    <t>AIS</t>
  </si>
  <si>
    <t>TRUE</t>
  </si>
  <si>
    <t>Airtel Africa</t>
  </si>
  <si>
    <t>MTN</t>
  </si>
  <si>
    <t>Safaricom</t>
  </si>
  <si>
    <t>Vodacom</t>
  </si>
  <si>
    <t>VEON</t>
  </si>
  <si>
    <t>America Movil</t>
  </si>
  <si>
    <t>Liberty Latin America</t>
  </si>
  <si>
    <t>Millicom</t>
  </si>
  <si>
    <t>TIM Participacoes</t>
  </si>
  <si>
    <t>Vivo</t>
  </si>
  <si>
    <t>FY+1 EV/EBITDA</t>
  </si>
  <si>
    <t xml:space="preserve">Kyivstar </t>
  </si>
  <si>
    <t>Ex. Kyivstar</t>
  </si>
  <si>
    <t>Average</t>
  </si>
  <si>
    <t>Multmod</t>
  </si>
  <si>
    <t>Receivable from VEON Amsterdam B.V.</t>
  </si>
  <si>
    <t>Debt ex. Leases</t>
  </si>
  <si>
    <t>Net debt with. Leases</t>
  </si>
  <si>
    <t>Lease liabilities</t>
  </si>
  <si>
    <t>Net debt (cash) ex. Leases</t>
  </si>
  <si>
    <t>Not in use</t>
  </si>
  <si>
    <t>NOT IN USE</t>
  </si>
  <si>
    <t>Assume higher cost base due to digital</t>
  </si>
  <si>
    <t>Catch all: NCA+Associates-Dividends from associates+Associates share of PAT, impairment, sale of asset</t>
  </si>
  <si>
    <t>Non-controlling interest changes if any</t>
  </si>
  <si>
    <t>Fixed ARPU/Mobile ARPU</t>
  </si>
  <si>
    <t>Core telco revenue - USD growth</t>
  </si>
  <si>
    <t>Core telco revenue - LLC growth</t>
  </si>
  <si>
    <t>Plans range from UAH100 to UAH120 to UAH150/month so likely some internal adjustments</t>
  </si>
  <si>
    <t>USD growth</t>
  </si>
  <si>
    <t>LLC growth</t>
  </si>
  <si>
    <t>1Q25 cash</t>
  </si>
  <si>
    <t>Loan receivables from VEON AMS</t>
  </si>
  <si>
    <t>Receivables from VEON AMS</t>
  </si>
  <si>
    <t>Estimated cash on hand now</t>
  </si>
  <si>
    <t>% of revenue</t>
  </si>
  <si>
    <t>% of service revenue</t>
  </si>
  <si>
    <t>million</t>
  </si>
  <si>
    <t>Fixed MAU</t>
  </si>
  <si>
    <t>Uklon - Is 2024 revenue USD 65m as mentioned in the press release or USD 67m (in the S4)?</t>
  </si>
  <si>
    <t>Fixed penetration as % of HH</t>
  </si>
  <si>
    <t>EMPLOYEES</t>
  </si>
  <si>
    <t>BUSINESSES</t>
  </si>
  <si>
    <t>MOBILE AND FIXED SERVICES</t>
  </si>
  <si>
    <t>Kyivstar Tech</t>
  </si>
  <si>
    <t>Big data, cloud</t>
  </si>
  <si>
    <t xml:space="preserve">Uklon </t>
  </si>
  <si>
    <t>Ride hailing and delivery in Ukraine and Uzbekistan</t>
  </si>
  <si>
    <t>subscription video on demand, transactionalvideo on demand, advertising -based video on demand and free ad -supported streaming television. we introduced two new subscriptions through our digital healthcare platform, Helsi: Helsi Planand Helsi Plus, which launched in 2023 and 2024, respectively. The Helsi Plan enhances appointment features,data access and medical data storage, while Helsi Plus offers interpretation of medical analyses, which assistscustomers in understanding their test results. Both plans represent an advancement in digital health technologyfor our customers with additional products under development</t>
  </si>
  <si>
    <t xml:space="preserve">Adwisor </t>
  </si>
  <si>
    <t>Adtech</t>
  </si>
  <si>
    <t>Digital healthcare</t>
  </si>
  <si>
    <t>specifically designed for B2B customers, enabling seamlesscampaign management, targeted audience engagement and data -driven
optimization. As of December 31, 2024,we had approximately 1,900 contracted customers on our Adwisor platform.</t>
  </si>
  <si>
    <t>Provide cloud-based tech solutions to 500 b2b</t>
  </si>
  <si>
    <t xml:space="preserve">Gross revene </t>
  </si>
  <si>
    <t xml:space="preserve">Kyivstar TV </t>
  </si>
  <si>
    <t>Cloud</t>
  </si>
  <si>
    <t>Big data</t>
  </si>
  <si>
    <t>Net revenue</t>
  </si>
  <si>
    <t>80% paying subs. Bundles with core business</t>
  </si>
  <si>
    <t>Nominal GDP</t>
  </si>
  <si>
    <t>UAH bn</t>
  </si>
  <si>
    <t>Estimated Telco industry enterprise</t>
  </si>
  <si>
    <t>USD bn</t>
  </si>
  <si>
    <t>VEON AMS = the seller</t>
  </si>
  <si>
    <t>Can you share the MAU/market share for Uklon in Ukraine?</t>
  </si>
  <si>
    <t>Of the UAH 880m direct digital revenue in 2024, are you able to share the breakdown between Helsi, Kyivstar TV and Enterprise?</t>
  </si>
  <si>
    <t>Status quo</t>
  </si>
  <si>
    <t>On our estimates, Uklon's EBITDA margin is around 12%. Does that sound sensible?</t>
  </si>
  <si>
    <t>Price</t>
  </si>
  <si>
    <t>Data (GB)</t>
  </si>
  <si>
    <t>Plan</t>
  </si>
  <si>
    <t>Price/GB</t>
  </si>
  <si>
    <t>In UAH</t>
  </si>
  <si>
    <t>Note:</t>
  </si>
  <si>
    <t>76% mobile customers are B2C for Kyivstar</t>
  </si>
  <si>
    <t>Unlimited</t>
  </si>
  <si>
    <t>Bundled services</t>
  </si>
  <si>
    <t>Home broadband</t>
  </si>
  <si>
    <t>100 Mbps</t>
  </si>
  <si>
    <t>1 Gbps</t>
  </si>
  <si>
    <t>Aged 60+ or with disabilities</t>
  </si>
  <si>
    <t>Cool</t>
  </si>
  <si>
    <t>Comfort</t>
  </si>
  <si>
    <t>Easy</t>
  </si>
  <si>
    <t>Lightweight</t>
  </si>
  <si>
    <t>2 additional add-ons: Kyivstar TV, 5GB roaming etc</t>
  </si>
  <si>
    <t>Type</t>
  </si>
  <si>
    <t>Prepaid</t>
  </si>
  <si>
    <t>Postpaid</t>
  </si>
  <si>
    <t>Choose 1 extra</t>
  </si>
  <si>
    <t>2x data and call time if paid on time</t>
  </si>
  <si>
    <t>2x call time if paid on time</t>
  </si>
  <si>
    <t>Existing user</t>
  </si>
  <si>
    <t>New user</t>
  </si>
  <si>
    <t>2 extra</t>
  </si>
  <si>
    <t>Sources:</t>
  </si>
  <si>
    <t>https://kyivstar.ua/tariffs?filter=mmc</t>
  </si>
  <si>
    <t>PRICE PLANS</t>
  </si>
  <si>
    <t>X</t>
  </si>
  <si>
    <t>BROADBAND</t>
  </si>
  <si>
    <t>Speed</t>
  </si>
  <si>
    <t>100/month for 6 months, 200 thereafter</t>
  </si>
  <si>
    <t>200/month for 6 months, 350 thereafter</t>
  </si>
  <si>
    <t>Luck</t>
  </si>
  <si>
    <t>House</t>
  </si>
  <si>
    <t>https://kyivstar.ua/home-internet</t>
  </si>
  <si>
    <t>Flexx GO</t>
  </si>
  <si>
    <t>Flexx TOP</t>
  </si>
  <si>
    <t>Joice Start</t>
  </si>
  <si>
    <t>Turbo</t>
  </si>
  <si>
    <t>Joice Pro</t>
  </si>
  <si>
    <t>Joice Max</t>
  </si>
  <si>
    <t>Starter pack promo</t>
  </si>
  <si>
    <t>Red Start</t>
  </si>
  <si>
    <t>Red Pro</t>
  </si>
  <si>
    <t>Red Unlimited</t>
  </si>
  <si>
    <t>50+150</t>
  </si>
  <si>
    <t>Gigabit Net</t>
  </si>
  <si>
    <t>Gigabit Net+TV Start</t>
  </si>
  <si>
    <t>Gigabit Net+TV Pro</t>
  </si>
  <si>
    <t>Free 3 months, 250 thereafter</t>
  </si>
  <si>
    <t>Free 3 months, 300 thereafter</t>
  </si>
  <si>
    <t>Free 3 months, 325 thereafter</t>
  </si>
  <si>
    <t>TV</t>
  </si>
  <si>
    <t>90 channels</t>
  </si>
  <si>
    <t>260 channels</t>
  </si>
  <si>
    <t>350 channels</t>
  </si>
  <si>
    <t>Calculated cost per year</t>
  </si>
  <si>
    <t>Implied cost/month</t>
  </si>
  <si>
    <t>Usual/month</t>
  </si>
  <si>
    <t>Term</t>
  </si>
  <si>
    <t>Promo price</t>
  </si>
  <si>
    <t>Promo term</t>
  </si>
  <si>
    <t>SUMMARY</t>
  </si>
  <si>
    <t>Maxi</t>
  </si>
  <si>
    <t>Mega</t>
  </si>
  <si>
    <t>https://www.lifecell.ua/en/mobile/tariffs/</t>
  </si>
  <si>
    <t>https://www.vodafone.ua/rates</t>
  </si>
  <si>
    <t>Call time (min)</t>
  </si>
  <si>
    <t>FMC - Advantage</t>
  </si>
  <si>
    <t>FMC - Lightweight</t>
  </si>
  <si>
    <t>FMC - Cool</t>
  </si>
  <si>
    <t>Additional</t>
  </si>
  <si>
    <t>Gigacombo</t>
  </si>
  <si>
    <t>Gigacombo Pro</t>
  </si>
  <si>
    <t>200/month for 3 months, 250 thereafter</t>
  </si>
  <si>
    <t>200/month for 3 months, 350 thereafter</t>
  </si>
  <si>
    <t>200/month for 3 months, 550 thereafter</t>
  </si>
  <si>
    <t>250/month for 3 months, 350 thereafter</t>
  </si>
  <si>
    <t>250/month for 3 months, 450 thereafter</t>
  </si>
  <si>
    <t>Life cell</t>
  </si>
  <si>
    <t>FMC</t>
  </si>
  <si>
    <t>V</t>
  </si>
  <si>
    <t>Lifeset S</t>
  </si>
  <si>
    <t>Lifeset M</t>
  </si>
  <si>
    <t>Lifeset L</t>
  </si>
  <si>
    <t>Lifeset XL</t>
  </si>
  <si>
    <t>Mobile data</t>
  </si>
  <si>
    <t>Yes</t>
  </si>
  <si>
    <t>None</t>
  </si>
  <si>
    <t>https://www.lifecell.ua/en/lifeset/</t>
  </si>
  <si>
    <t>Additional:</t>
  </si>
  <si>
    <t>Roaming</t>
  </si>
  <si>
    <t>New
user</t>
  </si>
  <si>
    <t>Existing
user</t>
  </si>
  <si>
    <t>MOBILE PRICING</t>
  </si>
  <si>
    <t>Optional add on: 5GB</t>
  </si>
  <si>
    <t>Acquisition pack</t>
  </si>
  <si>
    <t>GB</t>
  </si>
  <si>
    <t>Mid pack</t>
  </si>
  <si>
    <t>Large pack</t>
  </si>
  <si>
    <t>Vodafone vs others</t>
  </si>
  <si>
    <t>Kyivstar vs others</t>
  </si>
  <si>
    <t>Questions</t>
  </si>
  <si>
    <t>Feedback</t>
  </si>
  <si>
    <t xml:space="preserve">Over 50% now and aimming MT to LT share to be 60-70%. </t>
  </si>
  <si>
    <t>Trajectory of ARPU</t>
  </si>
  <si>
    <t>Wants to raise paying ratio at Helsi. Very small currently, 2-3%. User base won't be growing as fast as paying user base. That's where ARPU will come from.</t>
  </si>
  <si>
    <t xml:space="preserve">Monetising well. Not as fast as Uklon but would benefit as adoption picks up. </t>
  </si>
  <si>
    <t>Good growth YoY in paid users, rising MoM.</t>
  </si>
  <si>
    <t>Gradually introducing paid features while keeping price competitive (not high).</t>
  </si>
  <si>
    <t>Business model: SaaS from 1.6k clinics</t>
  </si>
  <si>
    <t>Aim to monetise across the value chain, including marketing to the bigger user base</t>
  </si>
  <si>
    <t xml:space="preserve">M&amp;A strategy </t>
  </si>
  <si>
    <t>https://en.interfax.com.ua/news/economic/1059527.html</t>
  </si>
  <si>
    <t>Needs to be accretive, could be digital, telecom or broadband. May not be new verticals.</t>
  </si>
  <si>
    <t>Fintech likely after war ends</t>
  </si>
  <si>
    <t xml:space="preserve">When the war ends, what happens? Invest more? </t>
  </si>
  <si>
    <t xml:space="preserve">Revenue: Usage rises, subs increase as people return. Costs will alleviate as they return to normalcy: Utility costs, compliance (75% of network covered etc). War-induced costs should fall off. Group average 17-19% capex so implying Ukraine could move to that level. </t>
  </si>
  <si>
    <t>https://dev.ua/en/news/plany-uklon-1752144855</t>
  </si>
  <si>
    <t>Present in Uzbekistan, 8% market share, &gt;1m trips/month. Market leader is currently Yandex with two brands</t>
  </si>
  <si>
    <t>https://dev.ua/news/duzhe-ahresyvna-konkurentsiia-z-yandeks-ale-tse-navit-motyvuie-ceo-uklon-serhii-hryshkovyi-rozpoviv-pro-ekspansiiu-na-mizhnarodni-rynky-1752130379</t>
  </si>
  <si>
    <t>EBITDA growing at least 10%</t>
  </si>
  <si>
    <t>Aim to capture over 70% market share, raising valuation to $300m in three years (2028)</t>
  </si>
  <si>
    <t>Average trip booking in Kyiv is UAH 163 and other regions is 151</t>
  </si>
  <si>
    <t>Expect 20-25% from new verticals, 15% from delivery and remainder from Ads etc</t>
  </si>
  <si>
    <t>https://dev.ua/en/news/kyivstar-1737740729</t>
  </si>
  <si>
    <t>Targeting 70% in Ukraine</t>
  </si>
  <si>
    <t>Mapping US ride hailing penetration</t>
  </si>
  <si>
    <t>US Penetration</t>
  </si>
  <si>
    <t>Uber's take rate ~20-25%</t>
  </si>
  <si>
    <t>Uber dynamics</t>
  </si>
  <si>
    <t>Trips</t>
  </si>
  <si>
    <t>Trips/MAU</t>
  </si>
  <si>
    <t>Booking/trip</t>
  </si>
  <si>
    <t>millions</t>
  </si>
  <si>
    <t>Gross bookings, $ m</t>
  </si>
  <si>
    <t>Mobility + Delivery</t>
  </si>
  <si>
    <t>Millions</t>
  </si>
  <si>
    <t>Price (Standard)</t>
  </si>
  <si>
    <t/>
  </si>
  <si>
    <t>Vs Vodafone</t>
  </si>
  <si>
    <t>VS Lifecell</t>
  </si>
  <si>
    <t>For example, as of December 31, 2024, approximately 35% of our broadband customers were also digital TVusers.</t>
  </si>
  <si>
    <t>LLC %</t>
  </si>
  <si>
    <t>OTHER KEY METRICS</t>
  </si>
  <si>
    <t>Net debt (cash)/EBITDA</t>
  </si>
  <si>
    <t>Dividend payout ratio</t>
  </si>
  <si>
    <t>Average 5Y capex*5</t>
  </si>
  <si>
    <t>ROIC2</t>
  </si>
  <si>
    <t>Removed excess cash to focus on operating economic; Assumed 5% cash for denominator</t>
  </si>
  <si>
    <t>NOPAT/Capex*5</t>
  </si>
  <si>
    <t>Capex ROIC</t>
  </si>
  <si>
    <t>18% cash tax rate</t>
  </si>
  <si>
    <t>Ticker (BBG):</t>
  </si>
  <si>
    <t>Rating</t>
  </si>
  <si>
    <t>Lead analyst</t>
  </si>
  <si>
    <t>Chris Hoare</t>
  </si>
  <si>
    <t>email</t>
  </si>
  <si>
    <t>chris@newstreetresearch.com</t>
  </si>
  <si>
    <t>Phone</t>
  </si>
  <si>
    <t>+44 207375 9130</t>
  </si>
  <si>
    <t>Analyst</t>
  </si>
  <si>
    <t>David Lopes</t>
  </si>
  <si>
    <t>david@newstreetresearch.com</t>
  </si>
  <si>
    <t>+44 207375 9147</t>
  </si>
  <si>
    <t>Associate</t>
  </si>
  <si>
    <t>Kelvin Oh, CFA</t>
  </si>
  <si>
    <t>kelvin@newstreetresearch.com</t>
  </si>
  <si>
    <t>+65 9159 2469</t>
  </si>
  <si>
    <t>Dividend yield</t>
  </si>
  <si>
    <t>Buyback yield</t>
  </si>
  <si>
    <t>2026 P/E</t>
  </si>
  <si>
    <t>2026 EV/EBITDA</t>
  </si>
  <si>
    <t>CAGR</t>
  </si>
  <si>
    <t>24-35</t>
  </si>
  <si>
    <t>25 regions, ex Crimea, Sevastopol</t>
  </si>
  <si>
    <t>24-35E</t>
  </si>
  <si>
    <t>Net change</t>
  </si>
  <si>
    <t>Assume war ends, pop growth restarts but unlikely to return to pre-war numbers (~44m)</t>
  </si>
  <si>
    <t>Status quo, war continues.</t>
  </si>
  <si>
    <t>2025E</t>
  </si>
  <si>
    <t>2025 EBITDA of 2x Uklon</t>
  </si>
  <si>
    <t>Kyivstar EBITDA, US$ m</t>
  </si>
  <si>
    <t>Uklon acquisition</t>
  </si>
  <si>
    <t>Completed on 2 Apr 2025</t>
  </si>
  <si>
    <t>Pg 169 of S4</t>
  </si>
  <si>
    <t>Assumed 27% EBITDA margin</t>
  </si>
  <si>
    <t>97% stake for 155.2m</t>
  </si>
  <si>
    <t>Underlying revenue</t>
  </si>
  <si>
    <t>BASE CASE</t>
  </si>
  <si>
    <t>Number of shares, ords</t>
  </si>
  <si>
    <t>Average number of shares, ords</t>
  </si>
  <si>
    <t>Number of shares, Savs</t>
  </si>
  <si>
    <t>Average number of shares, Savs</t>
  </si>
  <si>
    <t>Consolidated Net debt</t>
  </si>
  <si>
    <t>Other financial liabilities</t>
  </si>
  <si>
    <t>Associates (for EV calc)</t>
  </si>
  <si>
    <t>Minorities (for EV calc)</t>
  </si>
  <si>
    <t>Cumulative dividends</t>
  </si>
  <si>
    <t>Tax credit</t>
  </si>
  <si>
    <t>Reported EPS</t>
  </si>
  <si>
    <t>Clean EPS</t>
  </si>
  <si>
    <t>Group forecasts</t>
  </si>
  <si>
    <t>Consolidated Revenues</t>
  </si>
  <si>
    <t>Consolidated EBITDA</t>
  </si>
  <si>
    <t>Consolidated Depreciation</t>
  </si>
  <si>
    <t>Consolidated Amortisation</t>
  </si>
  <si>
    <t>Consolidated Capex</t>
  </si>
  <si>
    <t>Consolidated OpFCF</t>
  </si>
  <si>
    <t>Consolidated FCF (OpFCF * (1-tax rate))</t>
  </si>
  <si>
    <t>Minority interests (b/s)</t>
  </si>
  <si>
    <t>Book equity</t>
  </si>
  <si>
    <t>Net interest</t>
  </si>
  <si>
    <t>Reported earnings</t>
  </si>
  <si>
    <t>Clean earnings</t>
  </si>
  <si>
    <t>Always check</t>
  </si>
  <si>
    <t>Equity free cash flow</t>
  </si>
  <si>
    <t>Change to company definition FCFE</t>
  </si>
  <si>
    <t>Lease principal repayment</t>
  </si>
  <si>
    <t>License payment</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</si>
  <si>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</si>
  <si>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</si>
  <si>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</si>
  <si>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</si>
  <si>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</si>
  <si>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</si>
  <si>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</si>
  <si>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</si>
  <si>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</si>
  <si>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</si>
  <si>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</si>
  <si>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</si>
  <si>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</si>
  <si>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</si>
  <si>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</si>
  <si>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</si>
  <si>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</si>
  <si>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</si>
  <si>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</si>
  <si>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</si>
  <si>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</si>
  <si>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</si>
  <si>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</si>
  <si>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</si>
  <si>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</si>
  <si>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</si>
  <si>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</si>
  <si>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</si>
  <si>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</si>
  <si>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</si>
  <si>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</si>
  <si>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</si>
  <si>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</si>
  <si>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</si>
  <si>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</si>
  <si>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</si>
  <si>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</si>
  <si>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</si>
  <si>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</si>
  <si>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Public debt EOY balance</t>
  </si>
  <si>
    <t>Public debt repayment</t>
  </si>
  <si>
    <t>Interest on public debt</t>
  </si>
  <si>
    <t>Average interest rate on public debt</t>
  </si>
  <si>
    <t>Maturing non-public debt EOY balance</t>
  </si>
  <si>
    <t>Maturing non-public debt repayment</t>
  </si>
  <si>
    <t>Interest rate on maturing non-public debt</t>
  </si>
  <si>
    <t>Bank interest on maturing non-public debt</t>
  </si>
  <si>
    <t>Other debt EOY balance</t>
  </si>
  <si>
    <t>Interest rate on other debt</t>
  </si>
  <si>
    <t>Interest on other debt</t>
  </si>
  <si>
    <t>Gross cash &amp; STI</t>
  </si>
  <si>
    <t>Interest rate on cash</t>
  </si>
  <si>
    <t>FFO (see note)</t>
  </si>
  <si>
    <t>Cap ex</t>
  </si>
  <si>
    <t>Debt amortisation</t>
  </si>
  <si>
    <t>Gross interest expense</t>
  </si>
  <si>
    <t>Net interest expense</t>
  </si>
  <si>
    <t>Operating leases</t>
  </si>
  <si>
    <t>Ongoing interest on pension deficit</t>
  </si>
  <si>
    <t>Additional pension contributions to civil servants</t>
  </si>
  <si>
    <t>Operating leases x 7</t>
  </si>
  <si>
    <t>Unfunded pension liabilities to civil servants</t>
  </si>
  <si>
    <t>Unfunded pension liabilities</t>
  </si>
  <si>
    <t>Debt in joint ventures</t>
  </si>
  <si>
    <t>Guarantees</t>
  </si>
  <si>
    <t>Adjusted gross debt</t>
  </si>
  <si>
    <t>Adjusted Net debt</t>
  </si>
  <si>
    <t>Maturing debt</t>
  </si>
  <si>
    <t>Cash flow</t>
  </si>
  <si>
    <t>Change in net debt</t>
  </si>
  <si>
    <t>EFCF adjustments</t>
  </si>
  <si>
    <t>Adj 1</t>
  </si>
  <si>
    <t>Adj 2</t>
  </si>
  <si>
    <t>Adj 3</t>
  </si>
  <si>
    <t>Adj 4</t>
  </si>
  <si>
    <t>Adj 5</t>
  </si>
  <si>
    <t>Adj 6</t>
  </si>
  <si>
    <t>Divisional</t>
  </si>
  <si>
    <t>FCFE</t>
  </si>
  <si>
    <t>(-) Changes in WC</t>
  </si>
  <si>
    <t>(-) Tax paid</t>
  </si>
  <si>
    <t>(-) NCI</t>
  </si>
  <si>
    <t>Unlevered Free Cash Flow</t>
  </si>
  <si>
    <t>(-) Lease payments on principal</t>
  </si>
  <si>
    <t>Equity Free Cash Flow before license payment</t>
  </si>
  <si>
    <t>(-) License payments</t>
  </si>
  <si>
    <t>Equity Free Cash Flow</t>
  </si>
  <si>
    <t>Adjusted EFCF</t>
  </si>
  <si>
    <t>Others LT liabilities</t>
  </si>
  <si>
    <t>Change in net debt bridge</t>
  </si>
  <si>
    <t>(-) ROU and license capex</t>
  </si>
  <si>
    <t>(-) Acquisitions</t>
  </si>
  <si>
    <t>Reference: Helsi revenue from presentation</t>
  </si>
  <si>
    <t>Reference: Kyivstar TV revenue</t>
  </si>
  <si>
    <t>KyivstarTech</t>
  </si>
  <si>
    <t>Rev per employee, USD/employee</t>
  </si>
  <si>
    <t>Mentioned in S4 earned USD24m</t>
  </si>
  <si>
    <t>NCS</t>
  </si>
  <si>
    <t>Within Enterprise, what is the strategy here? Can you walk through the products? Kyivstar Tech earned USD24m revenue in 2024 which translates to roughly USD40k per employee.</t>
  </si>
  <si>
    <t>What's your ambition for the digital segment? Eventually venture into the FinTech space? Which area do you think has the biggest potential?</t>
  </si>
  <si>
    <t>Assumed market share for Kyivstar B2B</t>
  </si>
  <si>
    <t>No. of empoyees</t>
  </si>
  <si>
    <t>% growth</t>
  </si>
  <si>
    <t>Incremental</t>
  </si>
  <si>
    <t>Sense check:</t>
  </si>
  <si>
    <t>Paying ratio still small</t>
  </si>
  <si>
    <t>Implied % rise per quarter</t>
  </si>
  <si>
    <t>2 more Uklons</t>
  </si>
  <si>
    <t>Initial Digital+2 more Uklons</t>
  </si>
  <si>
    <t>Status quo - % YoY</t>
  </si>
  <si>
    <t>LiLAC</t>
  </si>
  <si>
    <t>nm</t>
  </si>
  <si>
    <t>SingTel</t>
  </si>
  <si>
    <t>SK Telecom</t>
  </si>
  <si>
    <t>KT Corp</t>
  </si>
  <si>
    <t>LG Uplus</t>
  </si>
  <si>
    <t>TRUE Corp</t>
  </si>
  <si>
    <t>2025</t>
  </si>
  <si>
    <t>2026</t>
  </si>
  <si>
    <t>2027</t>
  </si>
  <si>
    <t>2028</t>
  </si>
  <si>
    <t>Average ex. Kyivstar</t>
  </si>
  <si>
    <t>Shareholder remuneration</t>
  </si>
  <si>
    <t>On Uklon, how do you plan to scale to hit your medium term target of 70% market share in Ukraine in the ride-hailing segment?</t>
  </si>
  <si>
    <t>As % of intangible capex</t>
  </si>
  <si>
    <t>Includes PPE and ROU capex</t>
  </si>
  <si>
    <t>PPE + ROU capex</t>
  </si>
  <si>
    <t>Depreciation as % of PPE+ROU capex</t>
  </si>
  <si>
    <t>Telco</t>
  </si>
  <si>
    <t xml:space="preserve">Digital </t>
  </si>
  <si>
    <t>Capex intensity</t>
  </si>
  <si>
    <t>OpFCF</t>
  </si>
  <si>
    <t>OpFCF margin</t>
  </si>
  <si>
    <t>Digital vs Telco</t>
  </si>
  <si>
    <t>Assume 6x terminal multiple x expected spectrum spend</t>
  </si>
  <si>
    <t>Capex + ROU</t>
  </si>
  <si>
    <t>ROU capex</t>
  </si>
  <si>
    <t>ROU Capex as % of sales</t>
  </si>
  <si>
    <t>Weighted average Target price</t>
  </si>
  <si>
    <t>D&amp;A</t>
  </si>
  <si>
    <t>How confident are you in pushing out "fair value price increase"? Given inflation starting to ease</t>
  </si>
  <si>
    <t>Memo:</t>
  </si>
  <si>
    <t>Capex ex. ROU and license</t>
  </si>
  <si>
    <t>Implied equity value</t>
  </si>
  <si>
    <t>Implied P/E</t>
  </si>
  <si>
    <t>implied EV/EBITDA</t>
  </si>
  <si>
    <t>Digital breakdown</t>
  </si>
  <si>
    <t>Reported Digital revenue</t>
  </si>
  <si>
    <t>% of digital</t>
  </si>
  <si>
    <t>% yoy</t>
  </si>
  <si>
    <t>Loan receivable from VEON Amsterdam B.V.</t>
  </si>
  <si>
    <t>Oct 2024, CC IPO'd with 23m shares at $10 each, raised $230m. Each share consist of 1 Class A and 1/3 of redeemable warrant with a $11.5 exercise price.</t>
  </si>
  <si>
    <t>Did a private placement - 7.15m at $10 and raised $7.15m.</t>
  </si>
  <si>
    <t>In total, $231.15m was placed in a trust.</t>
  </si>
  <si>
    <t>CCIR shares</t>
  </si>
  <si>
    <t>CCIR sharesholders</t>
  </si>
  <si>
    <t>Sponsors</t>
  </si>
  <si>
    <t>Assuming no redemptions</t>
  </si>
  <si>
    <t>50% redemptions</t>
  </si>
  <si>
    <t>100% redemptions</t>
  </si>
  <si>
    <t>Max redeemable = 18.2m</t>
  </si>
  <si>
    <t>Assuming share buyback would be your primary form of shareholder remuneration? How do you balance that with M&amp;A?</t>
  </si>
  <si>
    <t>Modelling</t>
  </si>
  <si>
    <t>To use diluted share count of 226m instead of 219? 226,220,737</t>
  </si>
  <si>
    <t>Cash from Trust account</t>
  </si>
  <si>
    <t>Assumed CCIR share price</t>
  </si>
  <si>
    <t xml:space="preserve"> x Shares outstanding</t>
  </si>
  <si>
    <t>Proceeds</t>
  </si>
  <si>
    <t>% redeemed</t>
  </si>
  <si>
    <t>(-) Transaction fees</t>
  </si>
  <si>
    <t>Net proceeds</t>
  </si>
  <si>
    <t>Estimated Cash proceeds from Trust account upon closing</t>
  </si>
  <si>
    <t>Proforma adjustments for BS as of 1Q25 (S4 pg 157)</t>
  </si>
  <si>
    <t>1Q25 digital growth is 140% so x% in 2025 very achievable</t>
  </si>
  <si>
    <t>Kyivstar Fixed MAU</t>
  </si>
  <si>
    <t>Ukraine's Fixed penetration as % of HH</t>
  </si>
  <si>
    <t>Ukraine Fixed MAU</t>
  </si>
  <si>
    <t>KYIV</t>
  </si>
  <si>
    <t>USDUAH</t>
  </si>
  <si>
    <t>Start date</t>
  </si>
  <si>
    <t>End date</t>
  </si>
  <si>
    <t>Date</t>
  </si>
  <si>
    <t>Start</t>
  </si>
  <si>
    <t>Current</t>
  </si>
  <si>
    <t>End</t>
  </si>
  <si>
    <t>Ukraine Tower Company</t>
  </si>
  <si>
    <t>S4 pg 274</t>
  </si>
  <si>
    <t>Tower sites</t>
  </si>
  <si>
    <t>UTC</t>
  </si>
  <si>
    <t>67% ground based, 33% rooftop. Mix tilting towards ground based</t>
  </si>
  <si>
    <t>Kyivstar still holds 6.8k towers in 2024. Intending to transfer 1k towers to UTC but currently restrcited due to martial law.</t>
  </si>
  <si>
    <t>Fees paid to UTC</t>
  </si>
  <si>
    <t>Proforma financials ex. TowerCo</t>
  </si>
  <si>
    <t xml:space="preserve">TowerCo </t>
  </si>
  <si>
    <t>Revenue contribution</t>
  </si>
  <si>
    <t>EBITDA contribution</t>
  </si>
  <si>
    <t>Earnings contribution</t>
  </si>
  <si>
    <t>Kyivstar (including ToweCo)</t>
  </si>
  <si>
    <t>Earnings</t>
  </si>
  <si>
    <t>TowerCo</t>
  </si>
  <si>
    <t>Implied Kyivstar excluding TowerCo</t>
  </si>
  <si>
    <t>Proforma Uklon</t>
  </si>
  <si>
    <t>Proforma Kyivstar ex Tower + 3/4 Uklon</t>
  </si>
  <si>
    <t>Estimated EBITDA</t>
  </si>
  <si>
    <t>Rising Digital contribution</t>
  </si>
  <si>
    <t>EFCF margin</t>
  </si>
  <si>
    <t>Healthy in Ukraine. Subsidies in Uzbekistan (negative).</t>
  </si>
  <si>
    <t>% of SR</t>
  </si>
  <si>
    <t>Kyivstar TV - Net basis</t>
  </si>
  <si>
    <t>Kyivstar TV - Gross basis</t>
  </si>
  <si>
    <t>Gross revenue currently between 3.5-4x of net revenue</t>
  </si>
  <si>
    <t>Net to Gross multiplier</t>
  </si>
  <si>
    <t>Fixed ARPU, USD - Net basis</t>
  </si>
  <si>
    <t>Fixed ARPU, USD - Gross basis</t>
  </si>
  <si>
    <t>Net Revenue - Kyivstar, US$ m</t>
  </si>
  <si>
    <t>Gross Revenue - Kyivstar, US$ m</t>
  </si>
  <si>
    <t>Kyivstar TV - Net</t>
  </si>
  <si>
    <t>Kyivstar TV - Gross</t>
  </si>
  <si>
    <t>2Q25</t>
  </si>
  <si>
    <t>KyivstarTV - Net</t>
  </si>
  <si>
    <t>KyivstarTV - Gross</t>
  </si>
  <si>
    <t>Digital revenue - Net</t>
  </si>
  <si>
    <t>Digital revenue - Gross</t>
  </si>
  <si>
    <t>Total revenue - Net</t>
  </si>
  <si>
    <t>Total revenue - Gross</t>
  </si>
  <si>
    <t>Net basis</t>
  </si>
  <si>
    <t>Gross basis</t>
  </si>
  <si>
    <t>Initial Digital+2 more Uklons, gross</t>
  </si>
  <si>
    <t>2 more Uklon, gross</t>
  </si>
  <si>
    <t>Total revenue with 2 more Uklons, US$ m</t>
  </si>
  <si>
    <t>Total revenue with 2 more Uklons,Gross US$ m</t>
  </si>
  <si>
    <t>2 more Uklons, gross - % YoY</t>
  </si>
  <si>
    <t>2 more Uklons, net - % YoY</t>
  </si>
  <si>
    <t>Cash from SPAC</t>
  </si>
  <si>
    <t>Net debt (Cash)</t>
  </si>
  <si>
    <t>Cash Flow from Operations</t>
  </si>
  <si>
    <t>Purchase of PPE and Intangibles</t>
  </si>
  <si>
    <t>Debt repayment</t>
  </si>
  <si>
    <t>BOP Cash - 2025</t>
  </si>
  <si>
    <t>EOP Cash - 2025</t>
  </si>
  <si>
    <t>Incremental margin</t>
  </si>
  <si>
    <t>Mobile customers, 000</t>
  </si>
  <si>
    <t>Mobile ARPU, UAH</t>
  </si>
  <si>
    <t>Fixed customers, 000</t>
  </si>
  <si>
    <t>Fixed ARPU, UAH</t>
  </si>
  <si>
    <t>CCIR shareholders</t>
  </si>
  <si>
    <t>Likely scenario</t>
  </si>
  <si>
    <t>25.4% redemption</t>
  </si>
  <si>
    <t>No redemptions</t>
  </si>
  <si>
    <t>Max redemptions</t>
  </si>
  <si>
    <t>Digital revenue as % of sales - Net basis for KyivstarTV</t>
  </si>
  <si>
    <t>Digital revenue as % of sales - Gross basis for KyivstarTV</t>
  </si>
  <si>
    <t>Estimated Kyivstar TV ARPU - Net basis</t>
  </si>
  <si>
    <t>Estimated Kyivstar TV ARPU - Gross basis</t>
  </si>
  <si>
    <t>Digital revenue as % of sales - Net basis for Kyivstar TV</t>
  </si>
  <si>
    <t>Digital revenue as % of sales - Gross basis for Kyivstar TV</t>
  </si>
  <si>
    <t>1H25 results vs NSR forecasts</t>
  </si>
  <si>
    <t>1H25</t>
  </si>
  <si>
    <t>1H24</t>
  </si>
  <si>
    <t>ARPU, LLC</t>
  </si>
  <si>
    <t>1H25 as % of 2025E</t>
  </si>
  <si>
    <t>2H24</t>
  </si>
  <si>
    <t>Two more Uklons from 2026 onwards</t>
  </si>
  <si>
    <t>Interim</t>
  </si>
  <si>
    <t>Please, correct. KS owns 20MHz in 900, VF owns 55MHz in 2600 and 15.8MHz in 900; lifecell owns 11.2MHz in 900</t>
  </si>
  <si>
    <t>Buy</t>
  </si>
  <si>
    <t>US$16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</si>
</sst>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0\);&quot;--&quot;_)"/>
    <numFmt numFmtId="165" formatCode="#,##0.0;\(#,##0.0\);&quot;--&quot;_)"/>
    <numFmt numFmtId="166" formatCode="0.0%"/>
    <numFmt numFmtId="167" formatCode="#,##0.0"/>
    <numFmt numFmtId="168" formatCode="####&quot;E&quot;"/>
    <numFmt numFmtId="169" formatCode="0.0"/>
    <numFmt numFmtId="170" formatCode="_-* #,##0.0_-;\-* #,##0.0_-;_-* &quot;-&quot;??_-;_-@_-"/>
    <numFmt numFmtId="171" formatCode="_-* #,##0_-;\-* #,##0_-;_-* &quot;-&quot;??_-;_-@_-"/>
    <numFmt numFmtId="172" formatCode="#,##0.00000000"/>
    <numFmt numFmtId="173" formatCode="_(* #,##0.0_);_(* \(#,##0.0\);_(* &quot;-&quot;_);_(@_)"/>
    <numFmt numFmtId="174" formatCode="_(* #,##0_);_(* \(#,##0\);_(* &quot;-&quot;_);_(@_)"/>
    <numFmt numFmtId="175" formatCode="#,##0.00;\(#,##0.00\);&quot;--&quot;_)"/>
    <numFmt numFmtId="176" formatCode="##.0&quot;m&quot;"/>
    <numFmt numFmtId="177" formatCode="&quot;$&quot;#,##0;&quot;$&quot;\(#,##0\);&quot;--&quot;_)"/>
    <numFmt numFmtId="178" formatCode="&quot;$&quot;#,##0.0;&quot;$&quot;\(#,##0.0\);&quot;--&quot;_)"/>
    <numFmt numFmtId="179" formatCode="#,##0.0\x;\(#,##0.0\)\x;&quot;--&quot;_)"/>
    <numFmt numFmtId="180" formatCode="&quot;FY&quot;##"/>
    <numFmt numFmtId="181" formatCode="&quot;FY&quot;#0"/>
    <numFmt numFmtId="182" formatCode="0.0\x;\(0.0\)\x;&quot;--&quot;"/>
    <numFmt numFmtId="183" formatCode="#,##0.0\x;\(#,##0.0\x\);&quot;--&quot;_)"/>
    <numFmt numFmtId="184" formatCode="dd/mm/yy"/>
  </numFmts>
  <fonts count="59" x14ac:knownFonts="1">
    <font>
      <sz val="10"/>
      <color theme="1"/>
      <name val="Roboto"/>
      <family val="2"/>
    </font>
    <font>
      <b/>
      <sz val="10"/>
      <color theme="1"/>
      <name val="Roboto"/>
    </font>
    <font>
      <sz val="10"/>
      <color theme="1"/>
      <name val="Roboto"/>
    </font>
    <font>
      <sz val="10"/>
      <color rgb="FF0000FF"/>
      <name val="Roboto"/>
    </font>
    <font>
      <b/>
      <sz val="10"/>
      <color rgb="FF0000FF"/>
      <name val="Roboto"/>
    </font>
    <font>
      <b/>
      <sz val="10"/>
      <color theme="0"/>
      <name val="Roboto"/>
    </font>
    <font>
      <sz val="10"/>
      <color theme="1"/>
      <name val="Roboto"/>
      <family val="2"/>
    </font>
    <font>
      <b/>
      <sz val="10"/>
      <color rgb="FF000000"/>
      <name val="Roboto"/>
    </font>
    <font>
      <sz val="10"/>
      <color rgb="FF0000FF"/>
      <name val="Roboto"/>
      <family val="2"/>
    </font>
    <font>
      <i/>
      <sz val="10"/>
      <color theme="1"/>
      <name val="Roboto"/>
    </font>
    <font>
      <b/>
      <i/>
      <sz val="10"/>
      <color theme="1"/>
      <name val="Roboto"/>
    </font>
    <font>
      <i/>
      <sz val="10"/>
      <color theme="0"/>
      <name val="Roboto"/>
    </font>
    <font>
      <sz val="9"/>
      <color indexed="81"/>
      <name val="Tahoma"/>
      <family val="2"/>
    </font>
    <font>
      <b/>
      <sz val="9"/>
      <color indexed="81"/>
      <name val="Tahoma"/>
      <family val="2"/>
    </font>
    <font>
      <sz val="10"/>
      <name val="Roboto"/>
      <family val="2"/>
    </font>
    <font>
      <sz val="10"/>
      <color rgb="FF00B050"/>
      <name val="Roboto"/>
      <family val="2"/>
    </font>
    <font>
      <sz val="10"/>
      <name val="Arial"/>
      <family val="2"/>
    </font>
    <font>
      <sz val="10"/>
      <name val="Roboto"/>
    </font>
    <font>
      <sz val="10"/>
      <color theme="0"/>
      <name val="Roboto"/>
    </font>
    <font>
      <b/>
      <sz val="10"/>
      <name val="Roboto"/>
    </font>
    <font>
      <b/>
      <sz val="10"/>
      <color rgb="FF00B050"/>
      <name val="Roboto"/>
    </font>
    <font>
      <sz val="10"/>
      <color rgb="FF00B050"/>
      <name val="Roboto"/>
    </font>
    <font>
      <sz val="11"/>
      <color theme="1"/>
      <name val="Calibri"/>
      <family val="2"/>
      <scheme val="minor"/>
    </font>
    <font>
      <sz val="10"/>
      <color rgb="FF000000"/>
      <name val="Roboto"/>
    </font>
    <font>
      <b/>
      <i/>
      <sz val="10"/>
      <color theme="0"/>
      <name val="Roboto"/>
    </font>
    <font>
      <sz val="10"/>
      <name val="Arial Cyr"/>
      <charset val="204"/>
    </font>
    <font>
      <sz val="10"/>
      <name val="Trebuchet MS"/>
      <family val="2"/>
    </font>
    <font>
      <b/>
      <sz val="10"/>
      <color indexed="9"/>
      <name val="Roboto"/>
    </font>
    <font>
      <sz val="9"/>
      <name val="Arial"/>
      <family val="2"/>
    </font>
    <font>
      <i/>
      <sz val="10"/>
      <name val="Roboto"/>
    </font>
    <font>
      <i/>
      <sz val="10"/>
      <color rgb="FF0000FF"/>
      <name val="Roboto"/>
    </font>
    <font>
      <i/>
      <sz val="10"/>
      <color rgb="FF00B050"/>
      <name val="Roboto"/>
    </font>
    <font>
      <b/>
      <sz val="10"/>
      <color rgb="FFFF0000"/>
      <name val="Roboto"/>
    </font>
    <font>
      <i/>
      <sz val="10"/>
      <color rgb="FFFF0000"/>
      <name val="Roboto"/>
    </font>
    <font>
      <sz val="10"/>
      <color rgb="FFFF0000"/>
      <name val="Roboto"/>
    </font>
    <font>
      <u/>
      <sz val="10"/>
      <color theme="10"/>
      <name val="Roboto"/>
      <family val="2"/>
    </font>
    <font>
      <u/>
      <sz val="10"/>
      <color theme="10"/>
      <name val="Roboto"/>
    </font>
    <font>
      <sz val="10"/>
      <color rgb="FF000000"/>
      <name val="Roboto"/>
    </font>
    <font>
      <sz val="10"/>
      <color rgb="FFC00000"/>
      <name val="Roboto"/>
      <family val="2"/>
    </font>
    <font>
      <b/>
      <u val="singleAccounting"/>
      <sz val="10"/>
      <color theme="0"/>
      <name val="Roboto"/>
    </font>
    <font>
      <u val="singleAccounting"/>
      <sz val="10"/>
      <color theme="0"/>
      <name val="Roboto"/>
    </font>
    <font>
      <b/>
      <sz val="10"/>
      <color theme="1"/>
      <name val="Roboto"/>
      <family val="2"/>
    </font>
    <font>
      <sz val="10"/>
      <color rgb="FF333333"/>
      <name val="Arial"/>
      <family val="2"/>
    </font>
    <font>
      <b/>
      <i/>
      <sz val="10"/>
      <name val="Roboto"/>
    </font>
    <font>
      <b/>
      <sz val="9"/>
      <color theme="1"/>
      <name val="Roboto"/>
    </font>
    <font>
      <sz val="9"/>
      <color theme="1"/>
      <name val="Roboto"/>
    </font>
    <font>
      <b/>
      <sz val="9"/>
      <color theme="0"/>
      <name val="Roboto"/>
    </font>
    <font>
      <sz val="9"/>
      <color theme="0"/>
      <name val="Roboto"/>
    </font>
    <font>
      <b/>
      <sz val="11"/>
      <color theme="0"/>
      <name val="Trebuchet MS"/>
      <family val="2"/>
    </font>
    <font>
      <sz val="10"/>
      <color theme="0"/>
      <name val="Trebuchet MS"/>
      <family val="2"/>
    </font>
    <font>
      <u/>
      <sz val="10"/>
      <color indexed="12"/>
      <name val="Arial"/>
      <family val="2"/>
    </font>
    <font>
      <u/>
      <sz val="10"/>
      <color indexed="12"/>
      <name val="Roboto"/>
    </font>
    <font>
      <sz val="8"/>
      <name val="Arial"/>
      <family val="2"/>
    </font>
    <font>
      <b/>
      <i/>
      <sz val="10"/>
      <color rgb="FF0000FF"/>
      <name val="Roboto"/>
    </font>
    <font>
      <b/>
      <sz val="10"/>
      <color theme="0"/>
      <name val="Roboto"/>
      <family val="2"/>
    </font>
    <font>
      <sz val="10"/>
      <color theme="1"/>
      <name val="Calibri"/>
      <family val="2"/>
    </font>
    <font>
      <sz val="10"/>
      <color rgb="FFC00000"/>
      <name val="Roboto"/>
    </font>
    <font>
      <sz val="9"/>
      <color theme="1"/>
      <name val="Segoe UI"/>
      <family val="2"/>
    </font>
    <font>
      <b/>
      <sz val="9"/>
      <color indexed="81"/>
      <name val="Tahoma"/>
      <charset val="1"/>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6"/>
        <bgColor indexed="64"/>
      </patternFill>
    </fill>
    <fill>
      <patternFill patternType="solid">
        <fgColor rgb="FFFFFFCC"/>
        <bgColor indexed="64"/>
      </patternFill>
    </fill>
    <fill>
      <patternFill patternType="solid">
        <fgColor indexed="9"/>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rgb="FF263238"/>
        <bgColor indexed="64"/>
      </patternFill>
    </fill>
    <fill>
      <patternFill patternType="solid">
        <fgColor indexed="13"/>
        <bgColor indexed="64"/>
      </patternFill>
    </fill>
    <fill>
      <patternFill patternType="solid">
        <fgColor indexed="44"/>
        <bgColor indexed="64"/>
      </patternFill>
    </fill>
    <fill>
      <patternFill patternType="solid">
        <fgColor rgb="FFFFFF00"/>
        <bgColor indexed="64"/>
      </patternFill>
    </fill>
    <fill>
      <patternFill patternType="solid">
        <fgColor theme="0" tint="-0.14999847407452621"/>
        <bgColor theme="0" tint="-0.14999847407452621"/>
      </patternFill>
    </fill>
  </fills>
  <borders count="28">
    <border>
      <left/>
      <right/>
      <top/>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hair">
        <color auto="1"/>
      </top>
      <bottom style="hair">
        <color auto="1"/>
      </bottom>
      <diagonal/>
    </border>
    <border>
      <left/>
      <right style="thin">
        <color indexed="64"/>
      </right>
      <top style="thin">
        <color indexed="64"/>
      </top>
      <bottom style="hair">
        <color auto="1"/>
      </bottom>
      <diagonal/>
    </border>
    <border>
      <left/>
      <right/>
      <top style="thin">
        <color indexed="64"/>
      </top>
      <bottom style="hair">
        <color auto="1"/>
      </bottom>
      <diagonal/>
    </border>
    <border>
      <left/>
      <right style="thin">
        <color indexed="64"/>
      </right>
      <top style="hair">
        <color auto="1"/>
      </top>
      <bottom style="hair">
        <color auto="1"/>
      </bottom>
      <diagonal/>
    </border>
    <border>
      <left style="thin">
        <color indexed="64"/>
      </left>
      <right style="thin">
        <color indexed="64"/>
      </right>
      <top style="thin">
        <color indexed="64"/>
      </top>
      <bottom style="hair">
        <color auto="1"/>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bottom style="thin">
        <color theme="1"/>
      </bottom>
      <diagonal/>
    </border>
    <border>
      <left/>
      <right/>
      <top style="thin">
        <color theme="1"/>
      </top>
      <bottom/>
      <diagonal/>
    </border>
  </borders>
  <cellStyleXfs count="25">
    <xf numFmtId="0" fontId="0" fillId="0" borderId="0"/>
    <xf numFmtId="9" fontId="6" fillId="0" borderId="0" applyFont="0" applyFill="0" applyBorder="0" applyAlignment="0" applyProtection="0"/>
    <xf numFmtId="0" fontId="16" fillId="0" borderId="0"/>
    <xf numFmtId="0" fontId="16" fillId="0" borderId="0"/>
    <xf numFmtId="9" fontId="22" fillId="0" borderId="0" applyFont="0" applyFill="0" applyBorder="0" applyAlignment="0" applyProtection="0"/>
    <xf numFmtId="0" fontId="25" fillId="0" borderId="0"/>
    <xf numFmtId="0" fontId="26" fillId="0" borderId="0"/>
    <xf numFmtId="0" fontId="28" fillId="8" borderId="0"/>
    <xf numFmtId="0" fontId="16" fillId="0" borderId="0"/>
    <xf numFmtId="0" fontId="35" fillId="0" borderId="0" applyNumberFormat="0" applyFill="0" applyBorder="0" applyAlignment="0" applyProtection="0"/>
    <xf numFmtId="0" fontId="26" fillId="0" borderId="0"/>
    <xf numFmtId="0" fontId="26" fillId="0" borderId="0"/>
    <xf numFmtId="0" fontId="50" fillId="0" borderId="0" applyNumberFormat="0" applyFill="0" applyBorder="0" applyAlignment="0" applyProtection="0">
      <alignment vertical="top"/>
      <protection locked="0"/>
    </xf>
    <xf numFmtId="0" fontId="52" fillId="0" borderId="0"/>
    <xf numFmtId="43" fontId="16" fillId="0" borderId="0" applyFont="0" applyFill="0" applyBorder="0" applyAlignment="0" applyProtection="0"/>
    <xf numFmtId="0" fontId="16" fillId="0" borderId="0"/>
    <xf numFmtId="43" fontId="26" fillId="0" borderId="0" applyFont="0" applyFill="0" applyBorder="0" applyAlignment="0" applyProtection="0"/>
    <xf numFmtId="0" fontId="26" fillId="0" borderId="0"/>
    <xf numFmtId="0" fontId="16" fillId="0" borderId="0"/>
    <xf numFmtId="9" fontId="26" fillId="0" borderId="0" applyFont="0" applyFill="0" applyBorder="0" applyAlignment="0" applyProtection="0"/>
    <xf numFmtId="0" fontId="16" fillId="0" borderId="0"/>
    <xf numFmtId="0" fontId="26" fillId="0" borderId="0"/>
    <xf numFmtId="0" fontId="55" fillId="0" borderId="0"/>
    <xf numFmtId="0" fontId="16" fillId="0" borderId="0"/>
    <xf numFmtId="0" fontId="26" fillId="0" borderId="0"/>
  </cellStyleXfs>
  <cellXfs count="590">
    <xf numFmtId="0" fontId="0" fillId="0" borderId="0" xfId="0"/>
    <xf numFmtId="0" fontId="0" fillId="2" borderId="0" xfId="0" applyFill="1"/>
    <xf numFmtId="0" fontId="1" fillId="2" borderId="0" xfId="0" applyFont="1" applyFill="1"/>
    <xf numFmtId="0" fontId="2" fillId="2" borderId="0" xfId="0" applyFont="1" applyFill="1"/>
    <xf numFmtId="0" fontId="1" fillId="2" borderId="1" xfId="0" applyFont="1" applyFill="1" applyBorder="1"/>
    <xf numFmtId="0" fontId="1" fillId="2" borderId="2" xfId="0" applyFont="1" applyFill="1" applyBorder="1"/>
    <xf numFmtId="0" fontId="0" fillId="3" borderId="0" xfId="0" applyFill="1"/>
    <xf numFmtId="0" fontId="0" fillId="4" borderId="0" xfId="0" applyFill="1"/>
    <xf numFmtId="0" fontId="0" fillId="2" borderId="0" xfId="0" applyFill="1" applyAlignment="1">
      <alignment horizontal="center"/>
    </xf>
    <xf numFmtId="0" fontId="2" fillId="2" borderId="0" xfId="0" applyFont="1" applyFill="1" applyAlignment="1">
      <alignment horizontal="center"/>
    </xf>
    <xf numFmtId="0" fontId="1" fillId="2" borderId="0" xfId="0" applyFont="1" applyFill="1" applyAlignment="1">
      <alignment horizontal="center"/>
    </xf>
    <xf numFmtId="17" fontId="0" fillId="2" borderId="0" xfId="0" applyNumberFormat="1" applyFill="1"/>
    <xf numFmtId="164" fontId="3" fillId="2" borderId="0" xfId="0" applyNumberFormat="1" applyFont="1" applyFill="1"/>
    <xf numFmtId="164" fontId="0" fillId="2" borderId="0" xfId="0" applyNumberFormat="1" applyFill="1"/>
    <xf numFmtId="164" fontId="0" fillId="3" borderId="0" xfId="0" applyNumberFormat="1" applyFill="1"/>
    <xf numFmtId="164" fontId="2" fillId="2" borderId="0" xfId="0" applyNumberFormat="1" applyFont="1" applyFill="1"/>
    <xf numFmtId="164" fontId="4" fillId="2" borderId="1" xfId="0" applyNumberFormat="1" applyFont="1" applyFill="1" applyBorder="1"/>
    <xf numFmtId="164" fontId="1" fillId="2" borderId="0" xfId="0" applyNumberFormat="1" applyFont="1" applyFill="1"/>
    <xf numFmtId="164" fontId="4" fillId="2" borderId="2" xfId="0" applyNumberFormat="1" applyFont="1" applyFill="1" applyBorder="1"/>
    <xf numFmtId="164" fontId="0" fillId="4" borderId="0" xfId="0" applyNumberFormat="1" applyFill="1"/>
    <xf numFmtId="165" fontId="0" fillId="2" borderId="0" xfId="0" applyNumberFormat="1" applyFill="1" applyAlignment="1">
      <alignment horizontal="center"/>
    </xf>
    <xf numFmtId="165" fontId="0" fillId="2" borderId="0" xfId="0" applyNumberFormat="1" applyFill="1"/>
    <xf numFmtId="165" fontId="3" fillId="2" borderId="0" xfId="0" applyNumberFormat="1" applyFont="1" applyFill="1"/>
    <xf numFmtId="164" fontId="1" fillId="2" borderId="1" xfId="0" applyNumberFormat="1" applyFont="1" applyFill="1" applyBorder="1"/>
    <xf numFmtId="164" fontId="4" fillId="2" borderId="0" xfId="0" applyNumberFormat="1" applyFont="1" applyFill="1"/>
    <xf numFmtId="164" fontId="1" fillId="2" borderId="2" xfId="0" applyNumberFormat="1" applyFont="1" applyFill="1" applyBorder="1"/>
    <xf numFmtId="0" fontId="0" fillId="3" borderId="0" xfId="0" applyFill="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4" borderId="0" xfId="0" applyFill="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5" fillId="5" borderId="0" xfId="0" applyFont="1" applyFill="1" applyAlignment="1">
      <alignment horizontal="right"/>
    </xf>
    <xf numFmtId="17" fontId="5" fillId="5" borderId="0" xfId="0" applyNumberFormat="1" applyFont="1" applyFill="1"/>
    <xf numFmtId="0" fontId="5" fillId="5" borderId="0" xfId="0" applyFont="1" applyFill="1"/>
    <xf numFmtId="0" fontId="5" fillId="5" borderId="0" xfId="0" applyFont="1" applyFill="1" applyAlignment="1">
      <alignment horizontal="center"/>
    </xf>
    <xf numFmtId="0" fontId="0" fillId="2" borderId="0" xfId="0" quotePrefix="1" applyFill="1"/>
    <xf numFmtId="0" fontId="1" fillId="3" borderId="0" xfId="0" applyFont="1" applyFill="1"/>
    <xf numFmtId="0" fontId="0" fillId="2" borderId="1" xfId="0" applyFill="1" applyBorder="1"/>
    <xf numFmtId="0" fontId="7" fillId="3" borderId="0" xfId="0" applyFont="1" applyFill="1"/>
    <xf numFmtId="166" fontId="0" fillId="2" borderId="0" xfId="0" applyNumberFormat="1" applyFill="1"/>
    <xf numFmtId="166" fontId="8" fillId="2" borderId="0" xfId="0" applyNumberFormat="1" applyFont="1" applyFill="1"/>
    <xf numFmtId="166" fontId="0" fillId="2" borderId="1" xfId="0" applyNumberFormat="1" applyFill="1" applyBorder="1"/>
    <xf numFmtId="0" fontId="9" fillId="2" borderId="0" xfId="0" applyFont="1" applyFill="1" applyAlignment="1">
      <alignment horizontal="center"/>
    </xf>
    <xf numFmtId="0" fontId="10" fillId="2" borderId="0" xfId="0" applyFont="1" applyFill="1" applyAlignment="1">
      <alignment horizontal="center"/>
    </xf>
    <xf numFmtId="0" fontId="10" fillId="2" borderId="1" xfId="0" applyFont="1" applyFill="1" applyBorder="1" applyAlignment="1">
      <alignment horizontal="center"/>
    </xf>
    <xf numFmtId="0" fontId="11" fillId="5" borderId="0" xfId="0" applyFont="1" applyFill="1" applyAlignment="1">
      <alignment horizontal="center"/>
    </xf>
    <xf numFmtId="0" fontId="9" fillId="2" borderId="1" xfId="0" applyFont="1" applyFill="1" applyBorder="1" applyAlignment="1">
      <alignment horizontal="center"/>
    </xf>
    <xf numFmtId="165" fontId="0" fillId="2" borderId="1" xfId="0" applyNumberFormat="1" applyFill="1" applyBorder="1"/>
    <xf numFmtId="164" fontId="0" fillId="2" borderId="1" xfId="0" applyNumberFormat="1" applyFill="1" applyBorder="1"/>
    <xf numFmtId="165" fontId="8" fillId="2" borderId="0" xfId="0" applyNumberFormat="1" applyFont="1" applyFill="1"/>
    <xf numFmtId="166" fontId="14" fillId="2" borderId="0" xfId="0" applyNumberFormat="1" applyFont="1" applyFill="1"/>
    <xf numFmtId="166" fontId="0" fillId="2" borderId="0" xfId="1" applyNumberFormat="1" applyFont="1" applyFill="1"/>
    <xf numFmtId="165" fontId="14" fillId="2" borderId="0" xfId="0" applyNumberFormat="1" applyFont="1" applyFill="1"/>
    <xf numFmtId="0" fontId="9" fillId="2" borderId="2" xfId="0" applyFont="1" applyFill="1" applyBorder="1" applyAlignment="1">
      <alignment horizontal="center"/>
    </xf>
    <xf numFmtId="0" fontId="0" fillId="2" borderId="2" xfId="0" applyFill="1" applyBorder="1"/>
    <xf numFmtId="168" fontId="5" fillId="6" borderId="0" xfId="0" applyNumberFormat="1" applyFont="1" applyFill="1"/>
    <xf numFmtId="17" fontId="5" fillId="6" borderId="0" xfId="0" applyNumberFormat="1" applyFont="1" applyFill="1"/>
    <xf numFmtId="0" fontId="9" fillId="2" borderId="0" xfId="0" applyFont="1" applyFill="1"/>
    <xf numFmtId="0" fontId="1" fillId="2" borderId="0" xfId="0" applyFont="1" applyFill="1" applyAlignment="1">
      <alignment horizontal="left" indent="1"/>
    </xf>
    <xf numFmtId="0" fontId="9" fillId="2" borderId="0" xfId="0" applyFont="1" applyFill="1" applyAlignment="1">
      <alignment horizontal="left" indent="1"/>
    </xf>
    <xf numFmtId="0" fontId="0" fillId="2" borderId="0" xfId="0" applyFill="1" applyAlignment="1">
      <alignment horizontal="left" indent="1"/>
    </xf>
    <xf numFmtId="0" fontId="1" fillId="2" borderId="2" xfId="0" applyFont="1" applyFill="1" applyBorder="1" applyAlignment="1">
      <alignment horizontal="left" indent="1"/>
    </xf>
    <xf numFmtId="0" fontId="1" fillId="2" borderId="1" xfId="0" applyFont="1" applyFill="1" applyBorder="1" applyAlignment="1">
      <alignment horizontal="left" indent="1"/>
    </xf>
    <xf numFmtId="169" fontId="15" fillId="2" borderId="0" xfId="0" applyNumberFormat="1" applyFont="1" applyFill="1"/>
    <xf numFmtId="0" fontId="0" fillId="7" borderId="4" xfId="0" applyFill="1" applyBorder="1"/>
    <xf numFmtId="3" fontId="3" fillId="8" borderId="0" xfId="2" applyNumberFormat="1" applyFont="1" applyFill="1"/>
    <xf numFmtId="3" fontId="17" fillId="8" borderId="0" xfId="2" applyNumberFormat="1" applyFont="1" applyFill="1"/>
    <xf numFmtId="166" fontId="3" fillId="7" borderId="4" xfId="1" applyNumberFormat="1" applyFont="1" applyFill="1" applyBorder="1"/>
    <xf numFmtId="166" fontId="17" fillId="7" borderId="4" xfId="1" applyNumberFormat="1" applyFont="1" applyFill="1" applyBorder="1"/>
    <xf numFmtId="164" fontId="15" fillId="2" borderId="0" xfId="0" applyNumberFormat="1" applyFont="1" applyFill="1"/>
    <xf numFmtId="164" fontId="14" fillId="2" borderId="0" xfId="0" applyNumberFormat="1" applyFont="1" applyFill="1"/>
    <xf numFmtId="0" fontId="9" fillId="2" borderId="0" xfId="0" quotePrefix="1" applyFont="1" applyFill="1" applyAlignment="1">
      <alignment horizontal="center"/>
    </xf>
    <xf numFmtId="166" fontId="8" fillId="7" borderId="4" xfId="0" applyNumberFormat="1" applyFont="1" applyFill="1" applyBorder="1"/>
    <xf numFmtId="169" fontId="14" fillId="2" borderId="0" xfId="0" applyNumberFormat="1" applyFont="1" applyFill="1"/>
    <xf numFmtId="0" fontId="1" fillId="3" borderId="3" xfId="0" applyFont="1" applyFill="1" applyBorder="1"/>
    <xf numFmtId="0" fontId="0" fillId="3" borderId="3" xfId="0" applyFill="1" applyBorder="1"/>
    <xf numFmtId="0" fontId="9" fillId="3" borderId="3" xfId="0" applyFont="1" applyFill="1" applyBorder="1" applyAlignment="1">
      <alignment horizontal="center"/>
    </xf>
    <xf numFmtId="0" fontId="0" fillId="5" borderId="0" xfId="0" applyFill="1"/>
    <xf numFmtId="0" fontId="9" fillId="5" borderId="0" xfId="0" applyFont="1" applyFill="1" applyAlignment="1">
      <alignment horizontal="center"/>
    </xf>
    <xf numFmtId="0" fontId="18" fillId="5" borderId="0" xfId="0" applyFont="1" applyFill="1"/>
    <xf numFmtId="164" fontId="19" fillId="2" borderId="1" xfId="0" applyNumberFormat="1" applyFont="1" applyFill="1" applyBorder="1"/>
    <xf numFmtId="165" fontId="4" fillId="2" borderId="0" xfId="0" applyNumberFormat="1" applyFont="1" applyFill="1"/>
    <xf numFmtId="164" fontId="19" fillId="2" borderId="0" xfId="0" applyNumberFormat="1" applyFont="1" applyFill="1"/>
    <xf numFmtId="0" fontId="2" fillId="2" borderId="0" xfId="0" applyFont="1" applyFill="1" applyAlignment="1">
      <alignment horizontal="left" indent="1"/>
    </xf>
    <xf numFmtId="166" fontId="17" fillId="2" borderId="0" xfId="1" applyNumberFormat="1" applyFont="1" applyFill="1" applyBorder="1"/>
    <xf numFmtId="0" fontId="15" fillId="2" borderId="0" xfId="0" applyFont="1" applyFill="1"/>
    <xf numFmtId="0" fontId="10" fillId="2" borderId="2" xfId="0" applyFont="1" applyFill="1" applyBorder="1" applyAlignment="1">
      <alignment horizontal="center"/>
    </xf>
    <xf numFmtId="164" fontId="8" fillId="7" borderId="4" xfId="0" applyNumberFormat="1" applyFont="1" applyFill="1" applyBorder="1"/>
    <xf numFmtId="165" fontId="1" fillId="2" borderId="0" xfId="0" applyNumberFormat="1" applyFont="1" applyFill="1"/>
    <xf numFmtId="165" fontId="0" fillId="2" borderId="2" xfId="0" applyNumberFormat="1" applyFill="1" applyBorder="1"/>
    <xf numFmtId="165" fontId="0" fillId="5" borderId="0" xfId="0" applyNumberFormat="1" applyFill="1"/>
    <xf numFmtId="164" fontId="8" fillId="7" borderId="5" xfId="0" applyNumberFormat="1" applyFont="1" applyFill="1" applyBorder="1"/>
    <xf numFmtId="165" fontId="9" fillId="2" borderId="0" xfId="0" applyNumberFormat="1" applyFont="1" applyFill="1"/>
    <xf numFmtId="164" fontId="10" fillId="2" borderId="0" xfId="0" applyNumberFormat="1" applyFont="1" applyFill="1"/>
    <xf numFmtId="166" fontId="9" fillId="2" borderId="0" xfId="1" applyNumberFormat="1" applyFont="1" applyFill="1" applyBorder="1"/>
    <xf numFmtId="164" fontId="20" fillId="2" borderId="0" xfId="0" applyNumberFormat="1" applyFont="1" applyFill="1"/>
    <xf numFmtId="164" fontId="21" fillId="2" borderId="0" xfId="0" applyNumberFormat="1" applyFont="1" applyFill="1"/>
    <xf numFmtId="164" fontId="9" fillId="2" borderId="0" xfId="0" applyNumberFormat="1" applyFont="1" applyFill="1"/>
    <xf numFmtId="166" fontId="9" fillId="2" borderId="0" xfId="1" applyNumberFormat="1" applyFont="1" applyFill="1"/>
    <xf numFmtId="0" fontId="10" fillId="2" borderId="0" xfId="0" applyFont="1" applyFill="1"/>
    <xf numFmtId="165" fontId="10" fillId="2" borderId="0" xfId="0" applyNumberFormat="1" applyFont="1" applyFill="1"/>
    <xf numFmtId="166" fontId="10" fillId="2" borderId="0" xfId="1" applyNumberFormat="1" applyFont="1" applyFill="1"/>
    <xf numFmtId="0" fontId="8" fillId="7" borderId="0" xfId="0" applyFont="1" applyFill="1"/>
    <xf numFmtId="0" fontId="8" fillId="7" borderId="4" xfId="0" applyFont="1" applyFill="1" applyBorder="1"/>
    <xf numFmtId="166" fontId="1" fillId="2" borderId="1" xfId="0" applyNumberFormat="1" applyFont="1" applyFill="1" applyBorder="1"/>
    <xf numFmtId="164" fontId="19" fillId="2" borderId="2" xfId="0" applyNumberFormat="1" applyFont="1" applyFill="1" applyBorder="1"/>
    <xf numFmtId="0" fontId="17" fillId="2" borderId="0" xfId="3" applyFont="1" applyFill="1"/>
    <xf numFmtId="0" fontId="17" fillId="2" borderId="0" xfId="3" applyFont="1" applyFill="1" applyAlignment="1">
      <alignment horizontal="left" indent="1"/>
    </xf>
    <xf numFmtId="0" fontId="19" fillId="2" borderId="1" xfId="0" applyFont="1" applyFill="1" applyBorder="1" applyAlignment="1">
      <alignment horizontal="left" indent="1"/>
    </xf>
    <xf numFmtId="0" fontId="17" fillId="2" borderId="0" xfId="3" applyFont="1" applyFill="1" applyAlignment="1">
      <alignment horizontal="left" indent="2"/>
    </xf>
    <xf numFmtId="0" fontId="1" fillId="3" borderId="0" xfId="0" applyFont="1" applyFill="1" applyAlignment="1">
      <alignment horizontal="left"/>
    </xf>
    <xf numFmtId="0" fontId="19" fillId="2" borderId="0" xfId="3" applyFont="1" applyFill="1"/>
    <xf numFmtId="0" fontId="19" fillId="2" borderId="0" xfId="3" applyFont="1" applyFill="1" applyAlignment="1">
      <alignment horizontal="left" indent="1"/>
    </xf>
    <xf numFmtId="170" fontId="3" fillId="2" borderId="0" xfId="4" applyNumberFormat="1" applyFont="1" applyFill="1" applyBorder="1"/>
    <xf numFmtId="170" fontId="17" fillId="2" borderId="0" xfId="4" applyNumberFormat="1" applyFont="1" applyFill="1" applyBorder="1"/>
    <xf numFmtId="171" fontId="17" fillId="2" borderId="0" xfId="4" applyNumberFormat="1" applyFont="1" applyFill="1" applyBorder="1"/>
    <xf numFmtId="166" fontId="17" fillId="2" borderId="0" xfId="4" applyNumberFormat="1" applyFont="1" applyFill="1" applyBorder="1"/>
    <xf numFmtId="166" fontId="21" fillId="2" borderId="0" xfId="4" applyNumberFormat="1" applyFont="1" applyFill="1" applyBorder="1"/>
    <xf numFmtId="0" fontId="0" fillId="9" borderId="0" xfId="0" applyFill="1"/>
    <xf numFmtId="0" fontId="9" fillId="9" borderId="0" xfId="0" applyFont="1" applyFill="1" applyAlignment="1">
      <alignment horizontal="center"/>
    </xf>
    <xf numFmtId="0" fontId="19" fillId="3" borderId="0" xfId="3" applyFont="1" applyFill="1"/>
    <xf numFmtId="0" fontId="19" fillId="2" borderId="2" xfId="3" applyFont="1" applyFill="1" applyBorder="1" applyAlignment="1">
      <alignment horizontal="left" indent="1"/>
    </xf>
    <xf numFmtId="3" fontId="19" fillId="8" borderId="0" xfId="2" applyNumberFormat="1" applyFont="1" applyFill="1"/>
    <xf numFmtId="3" fontId="17" fillId="8" borderId="0" xfId="2" applyNumberFormat="1" applyFont="1" applyFill="1" applyAlignment="1">
      <alignment horizontal="left" indent="1"/>
    </xf>
    <xf numFmtId="3" fontId="19" fillId="8" borderId="0" xfId="2" applyNumberFormat="1" applyFont="1" applyFill="1" applyAlignment="1">
      <alignment horizontal="left" indent="1"/>
    </xf>
    <xf numFmtId="3" fontId="17" fillId="2" borderId="0" xfId="2" applyNumberFormat="1" applyFont="1" applyFill="1" applyAlignment="1">
      <alignment horizontal="left" indent="1"/>
    </xf>
    <xf numFmtId="167" fontId="3" fillId="8" borderId="0" xfId="2" applyNumberFormat="1" applyFont="1" applyFill="1" applyAlignment="1">
      <alignment horizontal="right"/>
    </xf>
    <xf numFmtId="166" fontId="0" fillId="7" borderId="4" xfId="0" applyNumberFormat="1" applyFill="1" applyBorder="1"/>
    <xf numFmtId="0" fontId="19" fillId="2" borderId="2" xfId="3" applyFont="1" applyFill="1" applyBorder="1"/>
    <xf numFmtId="164" fontId="17" fillId="2" borderId="0" xfId="4" applyNumberFormat="1" applyFont="1" applyFill="1" applyBorder="1"/>
    <xf numFmtId="164" fontId="0" fillId="2" borderId="0" xfId="1" applyNumberFormat="1" applyFont="1" applyFill="1"/>
    <xf numFmtId="164" fontId="19" fillId="7" borderId="2" xfId="2" applyNumberFormat="1" applyFont="1" applyFill="1" applyBorder="1"/>
    <xf numFmtId="166" fontId="15" fillId="2" borderId="0" xfId="1" applyNumberFormat="1" applyFont="1" applyFill="1"/>
    <xf numFmtId="168" fontId="1" fillId="2" borderId="0" xfId="0" applyNumberFormat="1" applyFont="1" applyFill="1"/>
    <xf numFmtId="0" fontId="14" fillId="2" borderId="0" xfId="0" applyFont="1" applyFill="1"/>
    <xf numFmtId="0" fontId="8" fillId="2" borderId="0" xfId="0" applyFont="1" applyFill="1"/>
    <xf numFmtId="9" fontId="8" fillId="2" borderId="0" xfId="0" applyNumberFormat="1" applyFont="1" applyFill="1"/>
    <xf numFmtId="170" fontId="3" fillId="7" borderId="4" xfId="4" applyNumberFormat="1" applyFont="1" applyFill="1" applyBorder="1"/>
    <xf numFmtId="165" fontId="17" fillId="2" borderId="0" xfId="4" applyNumberFormat="1" applyFont="1" applyFill="1" applyBorder="1"/>
    <xf numFmtId="164" fontId="0" fillId="7" borderId="0" xfId="0" applyNumberFormat="1" applyFill="1"/>
    <xf numFmtId="166" fontId="14" fillId="7" borderId="4" xfId="0" applyNumberFormat="1" applyFont="1" applyFill="1" applyBorder="1"/>
    <xf numFmtId="0" fontId="1" fillId="2" borderId="3" xfId="0" applyFont="1" applyFill="1" applyBorder="1"/>
    <xf numFmtId="0" fontId="0" fillId="2" borderId="3" xfId="0" applyFill="1" applyBorder="1"/>
    <xf numFmtId="0" fontId="9" fillId="2" borderId="3" xfId="0" applyFont="1" applyFill="1" applyBorder="1" applyAlignment="1">
      <alignment horizontal="center"/>
    </xf>
    <xf numFmtId="1" fontId="0" fillId="2" borderId="0" xfId="0" applyNumberFormat="1" applyFill="1"/>
    <xf numFmtId="9" fontId="0" fillId="2" borderId="0" xfId="0" applyNumberFormat="1" applyFill="1"/>
    <xf numFmtId="0" fontId="2" fillId="2" borderId="0" xfId="0" quotePrefix="1" applyFont="1" applyFill="1"/>
    <xf numFmtId="165" fontId="1" fillId="2" borderId="1" xfId="0" applyNumberFormat="1" applyFont="1" applyFill="1" applyBorder="1"/>
    <xf numFmtId="169" fontId="0" fillId="2" borderId="0" xfId="0" applyNumberFormat="1" applyFill="1"/>
    <xf numFmtId="1" fontId="0" fillId="7" borderId="4" xfId="0" applyNumberFormat="1" applyFill="1" applyBorder="1"/>
    <xf numFmtId="0" fontId="0" fillId="7" borderId="0" xfId="0" applyFill="1"/>
    <xf numFmtId="164" fontId="14" fillId="7" borderId="4" xfId="0" applyNumberFormat="1" applyFont="1" applyFill="1" applyBorder="1"/>
    <xf numFmtId="0" fontId="1" fillId="2" borderId="0" xfId="0" applyFont="1" applyFill="1" applyAlignment="1">
      <alignment horizontal="left"/>
    </xf>
    <xf numFmtId="166" fontId="0" fillId="2" borderId="0" xfId="1" applyNumberFormat="1" applyFont="1" applyFill="1" applyBorder="1"/>
    <xf numFmtId="167" fontId="0" fillId="2" borderId="0" xfId="0" applyNumberFormat="1" applyFill="1"/>
    <xf numFmtId="0" fontId="0" fillId="2" borderId="0" xfId="0" quotePrefix="1" applyFill="1" applyAlignment="1">
      <alignment horizontal="left" indent="1"/>
    </xf>
    <xf numFmtId="0" fontId="0" fillId="2" borderId="1" xfId="0" applyFill="1" applyBorder="1" applyAlignment="1">
      <alignment horizontal="left" indent="1"/>
    </xf>
    <xf numFmtId="0" fontId="1" fillId="10" borderId="0" xfId="0" applyFont="1" applyFill="1"/>
    <xf numFmtId="0" fontId="9" fillId="10" borderId="0" xfId="0" applyFont="1" applyFill="1" applyAlignment="1">
      <alignment horizontal="center"/>
    </xf>
    <xf numFmtId="165" fontId="0" fillId="10" borderId="0" xfId="0" applyNumberFormat="1" applyFill="1"/>
    <xf numFmtId="165" fontId="17" fillId="2" borderId="0" xfId="0" applyNumberFormat="1" applyFont="1" applyFill="1"/>
    <xf numFmtId="165" fontId="3" fillId="7" borderId="4" xfId="4" applyNumberFormat="1" applyFont="1" applyFill="1" applyBorder="1"/>
    <xf numFmtId="165" fontId="3" fillId="7" borderId="6" xfId="4" applyNumberFormat="1" applyFont="1" applyFill="1" applyBorder="1"/>
    <xf numFmtId="164" fontId="8" fillId="2" borderId="0" xfId="0" applyNumberFormat="1" applyFont="1" applyFill="1"/>
    <xf numFmtId="166" fontId="14" fillId="2" borderId="0" xfId="1" applyNumberFormat="1" applyFont="1" applyFill="1"/>
    <xf numFmtId="0" fontId="23" fillId="11" borderId="0" xfId="0" applyFont="1" applyFill="1" applyAlignment="1">
      <alignment horizontal="left" vertical="center"/>
    </xf>
    <xf numFmtId="0" fontId="4" fillId="11" borderId="3" xfId="0" applyFont="1" applyFill="1" applyBorder="1" applyAlignment="1">
      <alignment horizontal="right" vertical="center"/>
    </xf>
    <xf numFmtId="164" fontId="3" fillId="11" borderId="0" xfId="0" applyNumberFormat="1" applyFont="1" applyFill="1" applyAlignment="1">
      <alignment horizontal="right" vertical="center"/>
    </xf>
    <xf numFmtId="0" fontId="9" fillId="3" borderId="0" xfId="0" applyFont="1" applyFill="1" applyAlignment="1">
      <alignment horizontal="center"/>
    </xf>
    <xf numFmtId="0" fontId="1" fillId="3" borderId="1" xfId="0" applyFont="1" applyFill="1" applyBorder="1"/>
    <xf numFmtId="0" fontId="10" fillId="3" borderId="1" xfId="0" applyFont="1" applyFill="1" applyBorder="1" applyAlignment="1">
      <alignment horizontal="center"/>
    </xf>
    <xf numFmtId="164" fontId="1" fillId="3" borderId="1" xfId="0" applyNumberFormat="1" applyFont="1" applyFill="1" applyBorder="1"/>
    <xf numFmtId="0" fontId="2" fillId="3" borderId="0" xfId="0" applyFont="1" applyFill="1"/>
    <xf numFmtId="166" fontId="2" fillId="3" borderId="0" xfId="1" applyNumberFormat="1" applyFont="1" applyFill="1" applyBorder="1" applyAlignment="1"/>
    <xf numFmtId="164" fontId="23" fillId="3" borderId="0" xfId="0" applyNumberFormat="1" applyFont="1" applyFill="1" applyAlignment="1">
      <alignment horizontal="right" vertical="center"/>
    </xf>
    <xf numFmtId="169" fontId="2" fillId="2" borderId="0" xfId="0" applyNumberFormat="1" applyFont="1" applyFill="1"/>
    <xf numFmtId="0" fontId="21" fillId="2" borderId="0" xfId="0" applyFont="1" applyFill="1"/>
    <xf numFmtId="165" fontId="2" fillId="2" borderId="0" xfId="0" applyNumberFormat="1" applyFont="1" applyFill="1"/>
    <xf numFmtId="9" fontId="8" fillId="7" borderId="4" xfId="0" applyNumberFormat="1" applyFont="1" applyFill="1" applyBorder="1"/>
    <xf numFmtId="172" fontId="0" fillId="2" borderId="0" xfId="0" applyNumberFormat="1" applyFill="1"/>
    <xf numFmtId="0" fontId="24" fillId="5" borderId="0" xfId="0" applyFont="1" applyFill="1" applyAlignment="1">
      <alignment horizontal="center"/>
    </xf>
    <xf numFmtId="0" fontId="5" fillId="6" borderId="0" xfId="0" applyFont="1" applyFill="1"/>
    <xf numFmtId="0" fontId="2" fillId="7" borderId="7" xfId="0" applyFont="1" applyFill="1" applyBorder="1" applyAlignment="1">
      <alignment horizontal="center"/>
    </xf>
    <xf numFmtId="0" fontId="5" fillId="2" borderId="0" xfId="0" applyFont="1" applyFill="1"/>
    <xf numFmtId="0" fontId="11" fillId="2" borderId="0" xfId="0" applyFont="1" applyFill="1" applyAlignment="1">
      <alignment horizontal="center"/>
    </xf>
    <xf numFmtId="17" fontId="5" fillId="2" borderId="0" xfId="0" applyNumberFormat="1" applyFont="1" applyFill="1"/>
    <xf numFmtId="0" fontId="2" fillId="2" borderId="0" xfId="0" applyFont="1" applyFill="1" applyAlignment="1">
      <alignment horizontal="left"/>
    </xf>
    <xf numFmtId="169" fontId="15" fillId="2" borderId="0" xfId="1" applyNumberFormat="1" applyFont="1" applyFill="1"/>
    <xf numFmtId="168" fontId="0" fillId="2" borderId="0" xfId="0" applyNumberFormat="1" applyFill="1"/>
    <xf numFmtId="173" fontId="3" fillId="2" borderId="0" xfId="5" applyNumberFormat="1" applyFont="1" applyFill="1" applyAlignment="1">
      <alignment horizontal="center" vertical="center"/>
    </xf>
    <xf numFmtId="3" fontId="3" fillId="2" borderId="0" xfId="5" applyNumberFormat="1" applyFont="1" applyFill="1" applyAlignment="1">
      <alignment horizontal="right" vertical="center"/>
    </xf>
    <xf numFmtId="174" fontId="3" fillId="2" borderId="0" xfId="5" applyNumberFormat="1" applyFont="1" applyFill="1" applyAlignment="1">
      <alignment horizontal="center" vertical="center"/>
    </xf>
    <xf numFmtId="3" fontId="19" fillId="3" borderId="0" xfId="2" applyNumberFormat="1" applyFont="1" applyFill="1"/>
    <xf numFmtId="9" fontId="17" fillId="3" borderId="0" xfId="1" applyFont="1" applyFill="1"/>
    <xf numFmtId="0" fontId="17" fillId="8" borderId="0" xfId="6" applyFont="1" applyFill="1"/>
    <xf numFmtId="3" fontId="27" fillId="2" borderId="0" xfId="2" applyNumberFormat="1" applyFont="1" applyFill="1"/>
    <xf numFmtId="9" fontId="17" fillId="2" borderId="0" xfId="1" applyFont="1" applyFill="1"/>
    <xf numFmtId="0" fontId="19" fillId="3" borderId="0" xfId="7" applyFont="1" applyFill="1" applyAlignment="1">
      <alignment horizontal="left"/>
    </xf>
    <xf numFmtId="17" fontId="19" fillId="3" borderId="0" xfId="7" applyNumberFormat="1" applyFont="1" applyFill="1"/>
    <xf numFmtId="0" fontId="17" fillId="8" borderId="0" xfId="7" applyFont="1" applyAlignment="1">
      <alignment horizontal="left"/>
    </xf>
    <xf numFmtId="0" fontId="17" fillId="8" borderId="0" xfId="7" quotePrefix="1" applyFont="1" applyAlignment="1">
      <alignment horizontal="left"/>
    </xf>
    <xf numFmtId="0" fontId="17" fillId="8" borderId="0" xfId="7" applyFont="1"/>
    <xf numFmtId="0" fontId="19" fillId="8" borderId="1" xfId="7" applyFont="1" applyBorder="1" applyAlignment="1">
      <alignment horizontal="left"/>
    </xf>
    <xf numFmtId="166" fontId="19" fillId="8" borderId="1" xfId="7" applyNumberFormat="1" applyFont="1" applyBorder="1"/>
    <xf numFmtId="166" fontId="17" fillId="8" borderId="0" xfId="7" applyNumberFormat="1" applyFont="1"/>
    <xf numFmtId="0" fontId="19" fillId="8" borderId="2" xfId="7" quotePrefix="1" applyFont="1" applyBorder="1" applyAlignment="1">
      <alignment horizontal="left"/>
    </xf>
    <xf numFmtId="166" fontId="19" fillId="8" borderId="2" xfId="7" applyNumberFormat="1" applyFont="1" applyBorder="1"/>
    <xf numFmtId="9" fontId="17" fillId="2" borderId="0" xfId="1" applyFont="1" applyFill="1" applyBorder="1"/>
    <xf numFmtId="3" fontId="19" fillId="2" borderId="0" xfId="2" applyNumberFormat="1" applyFont="1" applyFill="1"/>
    <xf numFmtId="3" fontId="17" fillId="2" borderId="0" xfId="2" applyNumberFormat="1" applyFont="1" applyFill="1"/>
    <xf numFmtId="0" fontId="19" fillId="2" borderId="0" xfId="6" applyFont="1" applyFill="1"/>
    <xf numFmtId="0" fontId="19" fillId="8" borderId="0" xfId="6" applyFont="1" applyFill="1"/>
    <xf numFmtId="0" fontId="17" fillId="2" borderId="0" xfId="0" applyFont="1" applyFill="1"/>
    <xf numFmtId="0" fontId="17" fillId="2" borderId="0" xfId="8" applyFont="1" applyFill="1"/>
    <xf numFmtId="166" fontId="3" fillId="8" borderId="0" xfId="7" applyNumberFormat="1" applyFont="1"/>
    <xf numFmtId="2" fontId="3" fillId="8" borderId="0" xfId="7" applyNumberFormat="1" applyFont="1"/>
    <xf numFmtId="166" fontId="3" fillId="7" borderId="0" xfId="7" applyNumberFormat="1" applyFont="1" applyFill="1"/>
    <xf numFmtId="3" fontId="19" fillId="2" borderId="0" xfId="2" quotePrefix="1" applyNumberFormat="1" applyFont="1" applyFill="1"/>
    <xf numFmtId="3" fontId="17" fillId="2" borderId="0" xfId="2" quotePrefix="1" applyNumberFormat="1" applyFont="1" applyFill="1" applyAlignment="1">
      <alignment horizontal="left" indent="1"/>
    </xf>
    <xf numFmtId="3" fontId="19" fillId="2" borderId="2" xfId="2" quotePrefix="1" applyNumberFormat="1" applyFont="1" applyFill="1" applyBorder="1"/>
    <xf numFmtId="164" fontId="17" fillId="2" borderId="0" xfId="1" applyNumberFormat="1" applyFont="1" applyFill="1"/>
    <xf numFmtId="164" fontId="17" fillId="2" borderId="2" xfId="1" applyNumberFormat="1" applyFont="1" applyFill="1" applyBorder="1"/>
    <xf numFmtId="164" fontId="0" fillId="2" borderId="2" xfId="0" applyNumberFormat="1" applyFill="1" applyBorder="1"/>
    <xf numFmtId="164" fontId="17" fillId="8" borderId="0" xfId="6" applyNumberFormat="1" applyFont="1" applyFill="1"/>
    <xf numFmtId="164" fontId="19" fillId="8" borderId="0" xfId="8" applyNumberFormat="1" applyFont="1" applyFill="1"/>
    <xf numFmtId="164" fontId="17" fillId="2" borderId="0" xfId="0" applyNumberFormat="1" applyFont="1" applyFill="1"/>
    <xf numFmtId="164" fontId="17" fillId="8" borderId="0" xfId="8" applyNumberFormat="1" applyFont="1" applyFill="1"/>
    <xf numFmtId="164" fontId="19" fillId="3" borderId="7" xfId="8" applyNumberFormat="1" applyFont="1" applyFill="1" applyBorder="1"/>
    <xf numFmtId="3" fontId="29" fillId="2" borderId="0" xfId="2" quotePrefix="1" applyNumberFormat="1" applyFont="1" applyFill="1" applyAlignment="1">
      <alignment horizontal="left" indent="1"/>
    </xf>
    <xf numFmtId="164" fontId="29" fillId="2" borderId="0" xfId="1" applyNumberFormat="1" applyFont="1" applyFill="1"/>
    <xf numFmtId="14" fontId="3" fillId="7" borderId="0" xfId="1" applyNumberFormat="1" applyFont="1" applyFill="1"/>
    <xf numFmtId="3" fontId="19" fillId="8" borderId="2" xfId="2" applyNumberFormat="1" applyFont="1" applyFill="1" applyBorder="1"/>
    <xf numFmtId="164" fontId="19" fillId="8" borderId="2" xfId="6" applyNumberFormat="1" applyFont="1" applyFill="1" applyBorder="1"/>
    <xf numFmtId="175" fontId="0" fillId="2" borderId="0" xfId="0" applyNumberFormat="1" applyFill="1"/>
    <xf numFmtId="3" fontId="17" fillId="2" borderId="1" xfId="2" applyNumberFormat="1" applyFont="1" applyFill="1" applyBorder="1"/>
    <xf numFmtId="166" fontId="17" fillId="2" borderId="0" xfId="1" applyNumberFormat="1" applyFont="1" applyFill="1"/>
    <xf numFmtId="166" fontId="17" fillId="2" borderId="1" xfId="1" applyNumberFormat="1" applyFont="1" applyFill="1" applyBorder="1"/>
    <xf numFmtId="9" fontId="3" fillId="7" borderId="0" xfId="7" applyNumberFormat="1" applyFont="1" applyFill="1"/>
    <xf numFmtId="0" fontId="19" fillId="8" borderId="0" xfId="8" applyFont="1" applyFill="1"/>
    <xf numFmtId="0" fontId="3" fillId="2" borderId="0" xfId="0" applyFont="1" applyFill="1" applyAlignment="1">
      <alignment horizontal="left"/>
    </xf>
    <xf numFmtId="3" fontId="0" fillId="2" borderId="0" xfId="0" applyNumberFormat="1" applyFill="1"/>
    <xf numFmtId="3" fontId="1" fillId="2" borderId="0" xfId="0" applyNumberFormat="1" applyFont="1" applyFill="1"/>
    <xf numFmtId="165" fontId="3" fillId="2" borderId="0" xfId="4" applyNumberFormat="1" applyFont="1" applyFill="1" applyBorder="1"/>
    <xf numFmtId="176" fontId="0" fillId="2" borderId="0" xfId="0" applyNumberFormat="1" applyFill="1"/>
    <xf numFmtId="164" fontId="4" fillId="2" borderId="1" xfId="0" applyNumberFormat="1" applyFont="1" applyFill="1" applyBorder="1" applyAlignment="1">
      <alignment horizontal="center"/>
    </xf>
    <xf numFmtId="164" fontId="0" fillId="7" borderId="4" xfId="0" applyNumberFormat="1" applyFill="1" applyBorder="1"/>
    <xf numFmtId="0" fontId="18" fillId="2" borderId="0" xfId="0" applyFont="1" applyFill="1"/>
    <xf numFmtId="164" fontId="14" fillId="2" borderId="1" xfId="0" applyNumberFormat="1" applyFont="1" applyFill="1" applyBorder="1"/>
    <xf numFmtId="164" fontId="8" fillId="7" borderId="0" xfId="0" applyNumberFormat="1" applyFont="1" applyFill="1"/>
    <xf numFmtId="1" fontId="4" fillId="2" borderId="2" xfId="0" applyNumberFormat="1" applyFont="1" applyFill="1" applyBorder="1"/>
    <xf numFmtId="164" fontId="4" fillId="8" borderId="2" xfId="2" applyNumberFormat="1" applyFont="1" applyFill="1" applyBorder="1"/>
    <xf numFmtId="3" fontId="19" fillId="7" borderId="2" xfId="2" applyNumberFormat="1" applyFont="1" applyFill="1" applyBorder="1"/>
    <xf numFmtId="167" fontId="3" fillId="7" borderId="4" xfId="2" applyNumberFormat="1" applyFont="1" applyFill="1" applyBorder="1"/>
    <xf numFmtId="175" fontId="1" fillId="2" borderId="0" xfId="0" applyNumberFormat="1" applyFont="1" applyFill="1"/>
    <xf numFmtId="0" fontId="2" fillId="2" borderId="3" xfId="0" applyFont="1" applyFill="1" applyBorder="1" applyAlignment="1">
      <alignment horizontal="left" indent="1"/>
    </xf>
    <xf numFmtId="166" fontId="2" fillId="2" borderId="0" xfId="1" applyNumberFormat="1" applyFont="1" applyFill="1"/>
    <xf numFmtId="164" fontId="30" fillId="2" borderId="0" xfId="0" applyNumberFormat="1" applyFont="1" applyFill="1" applyAlignment="1">
      <alignment horizontal="center"/>
    </xf>
    <xf numFmtId="177" fontId="10" fillId="2" borderId="1" xfId="0" applyNumberFormat="1" applyFont="1" applyFill="1" applyBorder="1" applyAlignment="1">
      <alignment horizontal="center"/>
    </xf>
    <xf numFmtId="177" fontId="10" fillId="2" borderId="0" xfId="0" applyNumberFormat="1" applyFont="1" applyFill="1" applyAlignment="1">
      <alignment horizontal="center"/>
    </xf>
    <xf numFmtId="177" fontId="10" fillId="2" borderId="2" xfId="0" applyNumberFormat="1" applyFont="1" applyFill="1" applyBorder="1" applyAlignment="1">
      <alignment horizontal="center"/>
    </xf>
    <xf numFmtId="179" fontId="2" fillId="2" borderId="0" xfId="0" applyNumberFormat="1" applyFont="1" applyFill="1" applyAlignment="1">
      <alignment horizontal="center"/>
    </xf>
    <xf numFmtId="178" fontId="4" fillId="7" borderId="0" xfId="0" applyNumberFormat="1" applyFont="1" applyFill="1" applyAlignment="1">
      <alignment horizontal="center"/>
    </xf>
    <xf numFmtId="166" fontId="9" fillId="2" borderId="0" xfId="1" applyNumberFormat="1" applyFont="1" applyFill="1" applyAlignment="1">
      <alignment horizontal="center"/>
    </xf>
    <xf numFmtId="177" fontId="31" fillId="2" borderId="0" xfId="0" applyNumberFormat="1" applyFont="1" applyFill="1" applyAlignment="1">
      <alignment horizontal="center"/>
    </xf>
    <xf numFmtId="0" fontId="4" fillId="7" borderId="0" xfId="0" applyFont="1" applyFill="1" applyAlignment="1">
      <alignment horizontal="center"/>
    </xf>
    <xf numFmtId="0" fontId="4" fillId="2" borderId="0" xfId="0" applyFont="1" applyFill="1"/>
    <xf numFmtId="169" fontId="20" fillId="2" borderId="0" xfId="0" applyNumberFormat="1" applyFont="1" applyFill="1" applyAlignment="1">
      <alignment horizontal="center"/>
    </xf>
    <xf numFmtId="14" fontId="4" fillId="7" borderId="0" xfId="0" applyNumberFormat="1" applyFont="1" applyFill="1" applyAlignment="1">
      <alignment horizontal="center"/>
    </xf>
    <xf numFmtId="165" fontId="2" fillId="2" borderId="0" xfId="0" applyNumberFormat="1" applyFont="1" applyFill="1" applyAlignment="1">
      <alignment horizontal="center"/>
    </xf>
    <xf numFmtId="173" fontId="21" fillId="2" borderId="0" xfId="5" applyNumberFormat="1" applyFont="1" applyFill="1" applyAlignment="1">
      <alignment horizontal="center" vertical="center"/>
    </xf>
    <xf numFmtId="174" fontId="21" fillId="2" borderId="0" xfId="5" applyNumberFormat="1" applyFont="1" applyFill="1" applyAlignment="1">
      <alignment horizontal="center" vertical="center"/>
    </xf>
    <xf numFmtId="9" fontId="21" fillId="2" borderId="0" xfId="1" applyFont="1" applyFill="1" applyAlignment="1">
      <alignment horizontal="center" vertical="center"/>
    </xf>
    <xf numFmtId="166" fontId="21" fillId="2" borderId="0" xfId="1" applyNumberFormat="1" applyFont="1" applyFill="1" applyAlignment="1">
      <alignment horizontal="center" vertical="center"/>
    </xf>
    <xf numFmtId="0" fontId="32" fillId="2" borderId="0" xfId="0" applyFont="1" applyFill="1"/>
    <xf numFmtId="0" fontId="33" fillId="2" borderId="0" xfId="0" applyFont="1" applyFill="1" applyAlignment="1">
      <alignment horizontal="center"/>
    </xf>
    <xf numFmtId="164" fontId="34" fillId="2" borderId="0" xfId="0" applyNumberFormat="1" applyFont="1" applyFill="1"/>
    <xf numFmtId="1" fontId="19" fillId="2" borderId="2" xfId="0" applyNumberFormat="1" applyFont="1" applyFill="1" applyBorder="1"/>
    <xf numFmtId="165" fontId="19" fillId="2" borderId="2" xfId="0" applyNumberFormat="1" applyFont="1" applyFill="1" applyBorder="1"/>
    <xf numFmtId="2" fontId="0" fillId="2" borderId="0" xfId="0" applyNumberFormat="1" applyFill="1"/>
    <xf numFmtId="0" fontId="36" fillId="2" borderId="0" xfId="9" applyFont="1" applyFill="1"/>
    <xf numFmtId="0" fontId="2" fillId="0" borderId="0" xfId="0" applyFont="1"/>
    <xf numFmtId="167" fontId="15" fillId="2" borderId="0" xfId="1" applyNumberFormat="1" applyFont="1" applyFill="1"/>
    <xf numFmtId="167" fontId="17" fillId="2" borderId="0" xfId="2" applyNumberFormat="1" applyFont="1" applyFill="1"/>
    <xf numFmtId="1" fontId="15" fillId="2" borderId="0" xfId="1" applyNumberFormat="1" applyFont="1" applyFill="1"/>
    <xf numFmtId="166" fontId="0" fillId="2" borderId="1" xfId="1" applyNumberFormat="1" applyFont="1" applyFill="1" applyBorder="1"/>
    <xf numFmtId="164" fontId="0" fillId="7" borderId="0" xfId="1" applyNumberFormat="1" applyFont="1" applyFill="1"/>
    <xf numFmtId="164" fontId="1" fillId="2" borderId="1" xfId="1" applyNumberFormat="1" applyFont="1" applyFill="1" applyBorder="1"/>
    <xf numFmtId="164" fontId="1" fillId="2" borderId="0" xfId="1" applyNumberFormat="1" applyFont="1" applyFill="1" applyBorder="1"/>
    <xf numFmtId="0" fontId="19" fillId="2" borderId="0" xfId="0" applyFont="1" applyFill="1" applyAlignment="1">
      <alignment horizontal="left" indent="1"/>
    </xf>
    <xf numFmtId="164" fontId="15" fillId="2" borderId="1" xfId="0" applyNumberFormat="1" applyFont="1" applyFill="1" applyBorder="1"/>
    <xf numFmtId="0" fontId="38" fillId="11" borderId="0" xfId="0" applyFont="1" applyFill="1"/>
    <xf numFmtId="181" fontId="5" fillId="6" borderId="8" xfId="0" applyNumberFormat="1" applyFont="1" applyFill="1" applyBorder="1" applyAlignment="1">
      <alignment horizontal="center"/>
    </xf>
    <xf numFmtId="180" fontId="5" fillId="6" borderId="8" xfId="0" applyNumberFormat="1" applyFont="1" applyFill="1" applyBorder="1" applyAlignment="1">
      <alignment horizontal="center"/>
    </xf>
    <xf numFmtId="0" fontId="5" fillId="5" borderId="8" xfId="0" applyFont="1" applyFill="1" applyBorder="1"/>
    <xf numFmtId="181" fontId="5" fillId="5" borderId="8" xfId="0" applyNumberFormat="1" applyFont="1" applyFill="1" applyBorder="1" applyAlignment="1">
      <alignment horizontal="center"/>
    </xf>
    <xf numFmtId="180" fontId="5" fillId="5" borderId="8" xfId="0" applyNumberFormat="1" applyFont="1" applyFill="1" applyBorder="1" applyAlignment="1">
      <alignment horizontal="center"/>
    </xf>
    <xf numFmtId="0" fontId="39" fillId="5" borderId="0" xfId="0" applyFont="1" applyFill="1" applyAlignment="1">
      <alignment horizontal="centerContinuous"/>
    </xf>
    <xf numFmtId="0" fontId="39" fillId="6" borderId="0" xfId="0" applyFont="1" applyFill="1" applyAlignment="1">
      <alignment horizontal="centerContinuous"/>
    </xf>
    <xf numFmtId="0" fontId="18" fillId="5" borderId="1" xfId="0" applyFont="1" applyFill="1" applyBorder="1"/>
    <xf numFmtId="168" fontId="1" fillId="2" borderId="3" xfId="0" applyNumberFormat="1" applyFont="1" applyFill="1" applyBorder="1"/>
    <xf numFmtId="165" fontId="15" fillId="2" borderId="0" xfId="0" applyNumberFormat="1" applyFont="1" applyFill="1"/>
    <xf numFmtId="0" fontId="24" fillId="5" borderId="8" xfId="0" applyFont="1" applyFill="1" applyBorder="1"/>
    <xf numFmtId="0" fontId="18" fillId="5" borderId="1" xfId="0" applyFont="1" applyFill="1" applyBorder="1" applyAlignment="1">
      <alignment vertical="center" wrapText="1"/>
    </xf>
    <xf numFmtId="0" fontId="39" fillId="5" borderId="1" xfId="0" applyFont="1" applyFill="1" applyBorder="1" applyAlignment="1">
      <alignment horizontal="centerContinuous"/>
    </xf>
    <xf numFmtId="0" fontId="40" fillId="5" borderId="1" xfId="0" applyFont="1" applyFill="1" applyBorder="1" applyAlignment="1">
      <alignment horizontal="centerContinuous"/>
    </xf>
    <xf numFmtId="0" fontId="39" fillId="6" borderId="1" xfId="0" applyFont="1" applyFill="1" applyBorder="1" applyAlignment="1">
      <alignment horizontal="centerContinuous"/>
    </xf>
    <xf numFmtId="0" fontId="40" fillId="6" borderId="1" xfId="0" applyFont="1" applyFill="1" applyBorder="1" applyAlignment="1">
      <alignment horizontal="centerContinuous"/>
    </xf>
    <xf numFmtId="180" fontId="0" fillId="2" borderId="0" xfId="0" applyNumberFormat="1" applyFill="1" applyAlignment="1">
      <alignment horizontal="center"/>
    </xf>
    <xf numFmtId="0" fontId="0" fillId="2" borderId="3" xfId="0" applyFill="1" applyBorder="1" applyAlignment="1">
      <alignment horizontal="center"/>
    </xf>
    <xf numFmtId="164" fontId="38" fillId="11" borderId="0" xfId="0" applyNumberFormat="1" applyFont="1" applyFill="1" applyAlignment="1">
      <alignment horizontal="center"/>
    </xf>
    <xf numFmtId="166" fontId="0" fillId="2" borderId="0" xfId="1" applyNumberFormat="1" applyFont="1" applyFill="1" applyAlignment="1">
      <alignment horizontal="center"/>
    </xf>
    <xf numFmtId="182" fontId="0" fillId="2" borderId="0" xfId="0" applyNumberFormat="1" applyFill="1" applyAlignment="1">
      <alignment horizontal="center"/>
    </xf>
    <xf numFmtId="0" fontId="5" fillId="5" borderId="0" xfId="0" applyFont="1" applyFill="1" applyAlignment="1">
      <alignment horizontal="center" vertical="center" wrapText="1"/>
    </xf>
    <xf numFmtId="0" fontId="5" fillId="5" borderId="8" xfId="0" applyFont="1" applyFill="1" applyBorder="1" applyAlignment="1">
      <alignment horizontal="center" vertical="center" wrapText="1"/>
    </xf>
    <xf numFmtId="164" fontId="38" fillId="2" borderId="0" xfId="0" applyNumberFormat="1" applyFont="1" applyFill="1" applyAlignment="1">
      <alignment horizontal="center"/>
    </xf>
    <xf numFmtId="11" fontId="0" fillId="0" borderId="0" xfId="0" applyNumberFormat="1"/>
    <xf numFmtId="0" fontId="1" fillId="0" borderId="0" xfId="0" applyFont="1"/>
    <xf numFmtId="14" fontId="8" fillId="7" borderId="0" xfId="0" applyNumberFormat="1" applyFont="1" applyFill="1"/>
    <xf numFmtId="0" fontId="1" fillId="3" borderId="0" xfId="0" applyFont="1" applyFill="1" applyAlignment="1">
      <alignment horizontal="center"/>
    </xf>
    <xf numFmtId="166" fontId="0" fillId="0" borderId="0" xfId="1" applyNumberFormat="1" applyFont="1"/>
    <xf numFmtId="0" fontId="42" fillId="0" borderId="0" xfId="0" applyFont="1"/>
    <xf numFmtId="0" fontId="35" fillId="0" borderId="0" xfId="9"/>
    <xf numFmtId="169" fontId="0" fillId="7" borderId="0" xfId="0" applyNumberFormat="1" applyFill="1"/>
    <xf numFmtId="164" fontId="14" fillId="7" borderId="0" xfId="0" applyNumberFormat="1" applyFont="1" applyFill="1"/>
    <xf numFmtId="164" fontId="32" fillId="2" borderId="1" xfId="0" applyNumberFormat="1" applyFont="1" applyFill="1" applyBorder="1"/>
    <xf numFmtId="166" fontId="1" fillId="2" borderId="0" xfId="1" applyNumberFormat="1" applyFont="1" applyFill="1"/>
    <xf numFmtId="0" fontId="41" fillId="3" borderId="0" xfId="0" applyFont="1" applyFill="1"/>
    <xf numFmtId="0" fontId="8" fillId="3" borderId="0" xfId="0" applyFont="1" applyFill="1" applyAlignment="1">
      <alignment horizontal="center"/>
    </xf>
    <xf numFmtId="182" fontId="0" fillId="3" borderId="0" xfId="0" applyNumberFormat="1" applyFill="1" applyAlignment="1">
      <alignment horizontal="center"/>
    </xf>
    <xf numFmtId="169" fontId="15" fillId="3" borderId="0" xfId="0" applyNumberFormat="1" applyFont="1" applyFill="1"/>
    <xf numFmtId="164" fontId="0" fillId="2" borderId="0" xfId="0" applyNumberFormat="1" applyFill="1" applyAlignment="1">
      <alignment horizontal="center"/>
    </xf>
    <xf numFmtId="164" fontId="1" fillId="2" borderId="1" xfId="0" applyNumberFormat="1" applyFont="1" applyFill="1" applyBorder="1" applyAlignment="1">
      <alignment horizontal="center"/>
    </xf>
    <xf numFmtId="0" fontId="1" fillId="2" borderId="3" xfId="0" applyFont="1" applyFill="1" applyBorder="1" applyAlignment="1">
      <alignment horizontal="center"/>
    </xf>
    <xf numFmtId="164" fontId="0" fillId="10" borderId="0" xfId="0" applyNumberFormat="1" applyFill="1"/>
    <xf numFmtId="0" fontId="34" fillId="2" borderId="0" xfId="0" applyFont="1" applyFill="1"/>
    <xf numFmtId="164" fontId="34" fillId="7" borderId="4" xfId="0" applyNumberFormat="1" applyFont="1" applyFill="1" applyBorder="1"/>
    <xf numFmtId="164" fontId="32" fillId="2" borderId="0" xfId="0" applyNumberFormat="1" applyFont="1" applyFill="1"/>
    <xf numFmtId="3" fontId="19" fillId="3" borderId="0" xfId="2" applyNumberFormat="1" applyFont="1" applyFill="1" applyAlignment="1">
      <alignment horizontal="left" indent="1"/>
    </xf>
    <xf numFmtId="165" fontId="0" fillId="7" borderId="4" xfId="0" applyNumberFormat="1" applyFill="1" applyBorder="1"/>
    <xf numFmtId="173" fontId="34" fillId="2" borderId="0" xfId="5" applyNumberFormat="1" applyFont="1" applyFill="1" applyAlignment="1">
      <alignment horizontal="center" vertical="center"/>
    </xf>
    <xf numFmtId="174" fontId="34" fillId="2" borderId="0" xfId="5" applyNumberFormat="1" applyFont="1" applyFill="1" applyAlignment="1">
      <alignment horizontal="center" vertical="center"/>
    </xf>
    <xf numFmtId="0" fontId="10" fillId="2" borderId="0" xfId="0" applyFont="1" applyFill="1" applyAlignment="1">
      <alignment horizontal="left" indent="1"/>
    </xf>
    <xf numFmtId="0" fontId="9" fillId="2" borderId="0" xfId="0" applyFont="1" applyFill="1" applyAlignment="1">
      <alignment horizontal="left" indent="2"/>
    </xf>
    <xf numFmtId="0" fontId="19" fillId="2" borderId="0" xfId="0" applyFont="1" applyFill="1"/>
    <xf numFmtId="166" fontId="17" fillId="8" borderId="0" xfId="1" applyNumberFormat="1" applyFont="1" applyFill="1"/>
    <xf numFmtId="0" fontId="10" fillId="2" borderId="1" xfId="0" applyFont="1" applyFill="1" applyBorder="1"/>
    <xf numFmtId="166" fontId="10" fillId="2" borderId="1" xfId="1" applyNumberFormat="1" applyFont="1" applyFill="1" applyBorder="1"/>
    <xf numFmtId="0" fontId="1" fillId="2" borderId="0" xfId="0" applyFont="1" applyFill="1" applyAlignment="1">
      <alignment vertical="top"/>
    </xf>
    <xf numFmtId="14" fontId="8" fillId="2" borderId="0" xfId="0" applyNumberFormat="1" applyFont="1" applyFill="1" applyAlignment="1">
      <alignment vertical="top"/>
    </xf>
    <xf numFmtId="14" fontId="8" fillId="2" borderId="0" xfId="0" applyNumberFormat="1" applyFont="1" applyFill="1" applyAlignment="1">
      <alignment horizontal="center" vertical="top"/>
    </xf>
    <xf numFmtId="0" fontId="0" fillId="2" borderId="0" xfId="0" applyFill="1" applyAlignment="1">
      <alignment horizontal="center" vertical="top"/>
    </xf>
    <xf numFmtId="0" fontId="0" fillId="2" borderId="0" xfId="0" applyFill="1" applyAlignment="1">
      <alignment vertical="top"/>
    </xf>
    <xf numFmtId="0" fontId="10" fillId="2" borderId="3" xfId="0" applyFont="1" applyFill="1" applyBorder="1" applyAlignment="1">
      <alignment vertical="top"/>
    </xf>
    <xf numFmtId="0" fontId="0" fillId="2" borderId="3" xfId="0" applyFill="1" applyBorder="1" applyAlignment="1">
      <alignment vertical="top"/>
    </xf>
    <xf numFmtId="0" fontId="0" fillId="2" borderId="3" xfId="0" applyFill="1" applyBorder="1" applyAlignment="1">
      <alignment horizontal="center" vertical="top"/>
    </xf>
    <xf numFmtId="0" fontId="1" fillId="2" borderId="3" xfId="0" applyFont="1" applyFill="1" applyBorder="1" applyAlignment="1">
      <alignment horizontal="center" vertical="top"/>
    </xf>
    <xf numFmtId="0" fontId="2" fillId="2" borderId="0" xfId="0" applyFont="1" applyFill="1" applyAlignment="1">
      <alignment vertical="top"/>
    </xf>
    <xf numFmtId="0" fontId="2" fillId="2" borderId="0" xfId="0" applyFont="1" applyFill="1" applyAlignment="1">
      <alignment horizontal="center" vertical="top"/>
    </xf>
    <xf numFmtId="0" fontId="1" fillId="2" borderId="0" xfId="0" applyFont="1" applyFill="1" applyAlignment="1">
      <alignment horizontal="center" vertical="top"/>
    </xf>
    <xf numFmtId="0" fontId="0" fillId="2" borderId="0" xfId="0" applyFill="1" applyAlignment="1">
      <alignment horizontal="center" vertical="top" wrapText="1"/>
    </xf>
    <xf numFmtId="0" fontId="10" fillId="2" borderId="0" xfId="0" applyFont="1" applyFill="1" applyAlignment="1">
      <alignment vertical="top"/>
    </xf>
    <xf numFmtId="0" fontId="0" fillId="2" borderId="0" xfId="0" applyFill="1" applyAlignment="1">
      <alignment vertical="top" wrapText="1"/>
    </xf>
    <xf numFmtId="0" fontId="1" fillId="2" borderId="3" xfId="0" applyFont="1" applyFill="1" applyBorder="1" applyAlignment="1">
      <alignment vertical="top"/>
    </xf>
    <xf numFmtId="169" fontId="0" fillId="2" borderId="0" xfId="0" applyNumberFormat="1" applyFill="1" applyAlignment="1">
      <alignment horizontal="center" vertical="top"/>
    </xf>
    <xf numFmtId="169" fontId="0" fillId="2" borderId="0" xfId="0" applyNumberFormat="1" applyFill="1" applyAlignment="1">
      <alignment vertical="top"/>
    </xf>
    <xf numFmtId="0" fontId="45" fillId="2" borderId="9" xfId="0" applyFont="1" applyFill="1" applyBorder="1" applyAlignment="1">
      <alignment vertical="top"/>
    </xf>
    <xf numFmtId="169" fontId="45" fillId="2" borderId="9" xfId="0" applyNumberFormat="1" applyFont="1" applyFill="1" applyBorder="1" applyAlignment="1">
      <alignment vertical="top"/>
    </xf>
    <xf numFmtId="0" fontId="45" fillId="5" borderId="3" xfId="0" applyFont="1" applyFill="1" applyBorder="1" applyAlignment="1">
      <alignment vertical="top"/>
    </xf>
    <xf numFmtId="0" fontId="46" fillId="5" borderId="3" xfId="0" applyFont="1" applyFill="1" applyBorder="1" applyAlignment="1">
      <alignment horizontal="centerContinuous" vertical="top"/>
    </xf>
    <xf numFmtId="0" fontId="47" fillId="5" borderId="3" xfId="0" applyFont="1" applyFill="1" applyBorder="1" applyAlignment="1">
      <alignment horizontal="centerContinuous" vertical="top"/>
    </xf>
    <xf numFmtId="0" fontId="44" fillId="2" borderId="11" xfId="0" applyFont="1" applyFill="1" applyBorder="1" applyAlignment="1">
      <alignment horizontal="center" vertical="top" wrapText="1"/>
    </xf>
    <xf numFmtId="0" fontId="44" fillId="2" borderId="10" xfId="0" applyFont="1" applyFill="1" applyBorder="1" applyAlignment="1">
      <alignment horizontal="center" vertical="top" wrapText="1"/>
    </xf>
    <xf numFmtId="0" fontId="44" fillId="2" borderId="11" xfId="0" applyFont="1" applyFill="1" applyBorder="1" applyAlignment="1">
      <alignment horizontal="center" vertical="top"/>
    </xf>
    <xf numFmtId="0" fontId="45" fillId="2" borderId="10" xfId="0" applyFont="1" applyFill="1" applyBorder="1" applyAlignment="1">
      <alignment horizontal="center" vertical="top"/>
    </xf>
    <xf numFmtId="0" fontId="45" fillId="2" borderId="14" xfId="0" applyFont="1" applyFill="1" applyBorder="1" applyAlignment="1">
      <alignment horizontal="center" vertical="top"/>
    </xf>
    <xf numFmtId="0" fontId="45" fillId="2" borderId="11" xfId="0" applyFont="1" applyFill="1" applyBorder="1" applyAlignment="1">
      <alignment vertical="top"/>
    </xf>
    <xf numFmtId="0" fontId="45" fillId="2" borderId="17" xfId="0" applyFont="1" applyFill="1" applyBorder="1" applyAlignment="1">
      <alignment vertical="top"/>
    </xf>
    <xf numFmtId="0" fontId="47" fillId="5" borderId="6" xfId="0" applyFont="1" applyFill="1" applyBorder="1" applyAlignment="1">
      <alignment horizontal="centerContinuous" vertical="top"/>
    </xf>
    <xf numFmtId="164" fontId="45" fillId="2" borderId="9" xfId="0" applyNumberFormat="1" applyFont="1" applyFill="1" applyBorder="1" applyAlignment="1">
      <alignment horizontal="center" vertical="top"/>
    </xf>
    <xf numFmtId="164" fontId="45" fillId="2" borderId="12" xfId="0" applyNumberFormat="1" applyFont="1" applyFill="1" applyBorder="1" applyAlignment="1">
      <alignment horizontal="center" vertical="top"/>
    </xf>
    <xf numFmtId="164" fontId="45" fillId="2" borderId="15" xfId="0" applyNumberFormat="1" applyFont="1" applyFill="1" applyBorder="1" applyAlignment="1">
      <alignment horizontal="center" vertical="top"/>
    </xf>
    <xf numFmtId="164" fontId="45" fillId="2" borderId="17" xfId="0" applyNumberFormat="1" applyFont="1" applyFill="1" applyBorder="1" applyAlignment="1">
      <alignment horizontal="center" vertical="top"/>
    </xf>
    <xf numFmtId="164" fontId="45" fillId="2" borderId="18" xfId="0" applyNumberFormat="1" applyFont="1" applyFill="1" applyBorder="1" applyAlignment="1">
      <alignment horizontal="center" vertical="top"/>
    </xf>
    <xf numFmtId="164" fontId="45" fillId="2" borderId="16" xfId="0" applyNumberFormat="1" applyFont="1" applyFill="1" applyBorder="1" applyAlignment="1">
      <alignment horizontal="center" vertical="top"/>
    </xf>
    <xf numFmtId="165" fontId="45" fillId="2" borderId="9" xfId="0" applyNumberFormat="1" applyFont="1" applyFill="1" applyBorder="1" applyAlignment="1">
      <alignment horizontal="center" vertical="top"/>
    </xf>
    <xf numFmtId="165" fontId="45" fillId="2" borderId="12" xfId="0" applyNumberFormat="1" applyFont="1" applyFill="1" applyBorder="1" applyAlignment="1">
      <alignment horizontal="center" vertical="top"/>
    </xf>
    <xf numFmtId="165" fontId="45" fillId="2" borderId="15" xfId="0" applyNumberFormat="1" applyFont="1" applyFill="1" applyBorder="1" applyAlignment="1">
      <alignment horizontal="center" vertical="top"/>
    </xf>
    <xf numFmtId="0" fontId="46" fillId="5" borderId="4" xfId="0" applyFont="1" applyFill="1" applyBorder="1" applyAlignment="1">
      <alignment vertical="top"/>
    </xf>
    <xf numFmtId="0" fontId="45" fillId="2" borderId="13" xfId="0" applyFont="1" applyFill="1" applyBorder="1" applyAlignment="1">
      <alignment vertical="top"/>
    </xf>
    <xf numFmtId="0" fontId="45" fillId="2" borderId="19" xfId="0" applyFont="1" applyFill="1" applyBorder="1" applyAlignment="1">
      <alignment vertical="top"/>
    </xf>
    <xf numFmtId="0" fontId="45" fillId="2" borderId="20" xfId="0" applyFont="1" applyFill="1" applyBorder="1" applyAlignment="1">
      <alignment vertical="top"/>
    </xf>
    <xf numFmtId="169" fontId="45" fillId="2" borderId="20" xfId="0" applyNumberFormat="1" applyFont="1" applyFill="1" applyBorder="1" applyAlignment="1">
      <alignment vertical="top"/>
    </xf>
    <xf numFmtId="0" fontId="44" fillId="2" borderId="20" xfId="0" applyFont="1" applyFill="1" applyBorder="1" applyAlignment="1">
      <alignment vertical="top"/>
    </xf>
    <xf numFmtId="0" fontId="45" fillId="2" borderId="21" xfId="0" applyFont="1" applyFill="1" applyBorder="1" applyAlignment="1">
      <alignment vertical="top"/>
    </xf>
    <xf numFmtId="164" fontId="0" fillId="2" borderId="0" xfId="0" applyNumberFormat="1" applyFill="1" applyAlignment="1">
      <alignment horizontal="center" vertical="top"/>
    </xf>
    <xf numFmtId="0" fontId="1" fillId="2" borderId="0" xfId="0" applyFont="1" applyFill="1" applyAlignment="1">
      <alignment horizontal="left" vertical="top"/>
    </xf>
    <xf numFmtId="0" fontId="0" fillId="2" borderId="0" xfId="0" applyFill="1" applyAlignment="1">
      <alignment horizontal="left" vertical="top"/>
    </xf>
    <xf numFmtId="164" fontId="45" fillId="2" borderId="0" xfId="0" applyNumberFormat="1" applyFont="1" applyFill="1" applyAlignment="1">
      <alignment horizontal="left" vertical="top"/>
    </xf>
    <xf numFmtId="169" fontId="1" fillId="2" borderId="0" xfId="0" applyNumberFormat="1" applyFont="1" applyFill="1" applyAlignment="1">
      <alignment horizontal="left" vertical="top"/>
    </xf>
    <xf numFmtId="166" fontId="0" fillId="2" borderId="0" xfId="1" applyNumberFormat="1" applyFont="1" applyFill="1" applyAlignment="1">
      <alignment horizontal="center" vertical="top"/>
    </xf>
    <xf numFmtId="166" fontId="0" fillId="2" borderId="0" xfId="1" applyNumberFormat="1" applyFont="1" applyFill="1" applyAlignment="1">
      <alignment vertical="top"/>
    </xf>
    <xf numFmtId="0" fontId="37" fillId="2" borderId="0" xfId="0" applyFont="1" applyFill="1" applyAlignment="1">
      <alignment horizontal="left" vertical="center" wrapText="1"/>
    </xf>
    <xf numFmtId="0" fontId="2" fillId="2" borderId="0" xfId="0" applyFont="1" applyFill="1" applyAlignment="1">
      <alignment vertical="center" wrapText="1"/>
    </xf>
    <xf numFmtId="0" fontId="2" fillId="2" borderId="0" xfId="0" applyFont="1" applyFill="1" applyAlignment="1">
      <alignment horizontal="right" vertical="center" wrapText="1"/>
    </xf>
    <xf numFmtId="9" fontId="2" fillId="2" borderId="0" xfId="0" applyNumberFormat="1" applyFont="1" applyFill="1" applyAlignment="1">
      <alignment horizontal="right" vertical="center" wrapText="1"/>
    </xf>
    <xf numFmtId="9" fontId="2" fillId="2" borderId="0" xfId="0" applyNumberFormat="1" applyFont="1" applyFill="1"/>
    <xf numFmtId="166" fontId="0" fillId="2" borderId="0" xfId="0" applyNumberFormat="1" applyFill="1" applyAlignment="1">
      <alignment horizontal="center" vertical="top"/>
    </xf>
    <xf numFmtId="0" fontId="24" fillId="2" borderId="0" xfId="0" applyFont="1" applyFill="1" applyAlignment="1">
      <alignment horizontal="center"/>
    </xf>
    <xf numFmtId="0" fontId="4" fillId="2" borderId="0" xfId="0" applyFont="1" applyFill="1" applyAlignment="1">
      <alignment horizontal="center"/>
    </xf>
    <xf numFmtId="14" fontId="4" fillId="2" borderId="0" xfId="0" applyNumberFormat="1" applyFont="1" applyFill="1" applyAlignment="1">
      <alignment horizontal="center"/>
    </xf>
    <xf numFmtId="178" fontId="4" fillId="2" borderId="0" xfId="0" applyNumberFormat="1" applyFont="1" applyFill="1" applyAlignment="1">
      <alignment horizontal="center"/>
    </xf>
    <xf numFmtId="166" fontId="31" fillId="2" borderId="0" xfId="1" applyNumberFormat="1" applyFont="1" applyFill="1"/>
    <xf numFmtId="175" fontId="20" fillId="2" borderId="0" xfId="0" applyNumberFormat="1" applyFont="1" applyFill="1"/>
    <xf numFmtId="183" fontId="2" fillId="2" borderId="0" xfId="0" applyNumberFormat="1" applyFont="1" applyFill="1"/>
    <xf numFmtId="0" fontId="9" fillId="2" borderId="0" xfId="0" applyFont="1" applyFill="1" applyAlignment="1">
      <alignment horizontal="left"/>
    </xf>
    <xf numFmtId="0" fontId="24" fillId="5" borderId="0" xfId="0" applyFont="1" applyFill="1" applyAlignment="1">
      <alignment horizontal="left"/>
    </xf>
    <xf numFmtId="0" fontId="0" fillId="2" borderId="3" xfId="0" applyFill="1" applyBorder="1" applyAlignment="1">
      <alignment horizontal="left"/>
    </xf>
    <xf numFmtId="0" fontId="0" fillId="2" borderId="0" xfId="0" applyFill="1" applyAlignment="1">
      <alignment horizontal="left"/>
    </xf>
    <xf numFmtId="164" fontId="2" fillId="2" borderId="0" xfId="0" applyNumberFormat="1" applyFont="1" applyFill="1" applyAlignment="1">
      <alignment horizontal="left"/>
    </xf>
    <xf numFmtId="166" fontId="21" fillId="2" borderId="0" xfId="1" applyNumberFormat="1" applyFont="1" applyFill="1"/>
    <xf numFmtId="166" fontId="1" fillId="2" borderId="0" xfId="1" applyNumberFormat="1" applyFont="1" applyFill="1" applyBorder="1"/>
    <xf numFmtId="166" fontId="8" fillId="7" borderId="4" xfId="1" applyNumberFormat="1" applyFont="1" applyFill="1" applyBorder="1"/>
    <xf numFmtId="0" fontId="5" fillId="12" borderId="0" xfId="11" applyFont="1" applyFill="1" applyAlignment="1">
      <alignment vertical="center"/>
    </xf>
    <xf numFmtId="0" fontId="18" fillId="12" borderId="0" xfId="11" applyFont="1" applyFill="1"/>
    <xf numFmtId="0" fontId="26" fillId="12" borderId="0" xfId="11" applyFill="1"/>
    <xf numFmtId="0" fontId="48" fillId="2" borderId="0" xfId="11" applyFont="1" applyFill="1" applyAlignment="1">
      <alignment vertical="center"/>
    </xf>
    <xf numFmtId="0" fontId="49" fillId="2" borderId="0" xfId="11" applyFont="1" applyFill="1"/>
    <xf numFmtId="0" fontId="26" fillId="2" borderId="0" xfId="11" applyFill="1"/>
    <xf numFmtId="0" fontId="26" fillId="0" borderId="0" xfId="11"/>
    <xf numFmtId="0" fontId="19" fillId="2" borderId="0" xfId="11" applyFont="1" applyFill="1"/>
    <xf numFmtId="0" fontId="17" fillId="2" borderId="0" xfId="11" applyFont="1" applyFill="1"/>
    <xf numFmtId="0" fontId="51" fillId="2" borderId="0" xfId="12" applyFont="1" applyFill="1" applyAlignment="1" applyProtection="1"/>
    <xf numFmtId="0" fontId="17" fillId="2" borderId="0" xfId="11" quotePrefix="1" applyFont="1" applyFill="1"/>
    <xf numFmtId="0" fontId="3" fillId="7" borderId="0" xfId="11" applyFont="1" applyFill="1"/>
    <xf numFmtId="166" fontId="10" fillId="2" borderId="0" xfId="1" applyNumberFormat="1" applyFont="1" applyFill="1" applyAlignment="1">
      <alignment horizontal="center"/>
    </xf>
    <xf numFmtId="183" fontId="0" fillId="2" borderId="0" xfId="0" applyNumberFormat="1" applyFill="1" applyAlignment="1">
      <alignment horizontal="center"/>
    </xf>
    <xf numFmtId="0" fontId="1" fillId="2" borderId="0" xfId="0" quotePrefix="1" applyFont="1" applyFill="1" applyAlignment="1">
      <alignment horizontal="center"/>
    </xf>
    <xf numFmtId="164" fontId="1" fillId="2" borderId="0" xfId="0" applyNumberFormat="1" applyFont="1" applyFill="1" applyAlignment="1">
      <alignment horizontal="center"/>
    </xf>
    <xf numFmtId="164" fontId="9" fillId="2" borderId="0" xfId="0" applyNumberFormat="1" applyFont="1" applyFill="1" applyAlignment="1">
      <alignment horizontal="center"/>
    </xf>
    <xf numFmtId="164" fontId="2" fillId="2" borderId="0" xfId="0" applyNumberFormat="1" applyFont="1" applyFill="1" applyAlignment="1">
      <alignment horizontal="center"/>
    </xf>
    <xf numFmtId="164" fontId="19" fillId="3" borderId="23" xfId="8" applyNumberFormat="1" applyFont="1" applyFill="1" applyBorder="1"/>
    <xf numFmtId="164" fontId="17" fillId="7" borderId="4" xfId="8" applyNumberFormat="1" applyFont="1" applyFill="1" applyBorder="1"/>
    <xf numFmtId="1" fontId="15" fillId="2" borderId="0" xfId="0" applyNumberFormat="1" applyFont="1" applyFill="1"/>
    <xf numFmtId="164" fontId="31" fillId="2" borderId="0" xfId="0" applyNumberFormat="1" applyFont="1" applyFill="1" applyAlignment="1">
      <alignment horizontal="center"/>
    </xf>
    <xf numFmtId="0" fontId="8" fillId="0" borderId="0" xfId="0" applyFont="1"/>
    <xf numFmtId="0" fontId="35" fillId="2" borderId="0" xfId="9" applyFill="1"/>
    <xf numFmtId="1" fontId="15" fillId="2" borderId="0" xfId="0" applyNumberFormat="1" applyFont="1" applyFill="1" applyAlignment="1">
      <alignment horizontal="center"/>
    </xf>
    <xf numFmtId="9" fontId="0" fillId="7" borderId="0" xfId="0" applyNumberFormat="1" applyFill="1" applyAlignment="1">
      <alignment horizontal="center"/>
    </xf>
    <xf numFmtId="182" fontId="8" fillId="2" borderId="0" xfId="0" applyNumberFormat="1" applyFont="1" applyFill="1" applyAlignment="1">
      <alignment horizontal="center"/>
    </xf>
    <xf numFmtId="182" fontId="15" fillId="2" borderId="0" xfId="0" applyNumberFormat="1" applyFont="1" applyFill="1" applyAlignment="1">
      <alignment horizontal="center"/>
    </xf>
    <xf numFmtId="169" fontId="0" fillId="2" borderId="0" xfId="0" applyNumberFormat="1" applyFill="1" applyAlignment="1">
      <alignment horizontal="center"/>
    </xf>
    <xf numFmtId="0" fontId="0" fillId="2" borderId="0" xfId="0" applyFill="1" applyAlignment="1">
      <alignment horizontal="left" indent="2"/>
    </xf>
    <xf numFmtId="166" fontId="1" fillId="2" borderId="0" xfId="1" applyNumberFormat="1" applyFont="1" applyFill="1" applyAlignment="1">
      <alignment horizontal="center"/>
    </xf>
    <xf numFmtId="166" fontId="8" fillId="2" borderId="0" xfId="1" applyNumberFormat="1" applyFont="1" applyFill="1"/>
    <xf numFmtId="169" fontId="8" fillId="2" borderId="0" xfId="0" applyNumberFormat="1" applyFont="1" applyFill="1"/>
    <xf numFmtId="0" fontId="17" fillId="0" borderId="0" xfId="13" applyFont="1"/>
    <xf numFmtId="0" fontId="19" fillId="0" borderId="3" xfId="13" applyFont="1" applyBorder="1"/>
    <xf numFmtId="0" fontId="17" fillId="13" borderId="0" xfId="13" applyFont="1" applyFill="1"/>
    <xf numFmtId="0" fontId="17" fillId="14" borderId="0" xfId="13" applyFont="1" applyFill="1"/>
    <xf numFmtId="1" fontId="17" fillId="14" borderId="0" xfId="13" applyNumberFormat="1" applyFont="1" applyFill="1"/>
    <xf numFmtId="1" fontId="17" fillId="0" borderId="0" xfId="13" applyNumberFormat="1" applyFont="1"/>
    <xf numFmtId="0" fontId="17" fillId="15" borderId="0" xfId="13" applyFont="1" applyFill="1"/>
    <xf numFmtId="171" fontId="17" fillId="14" borderId="0" xfId="14" applyNumberFormat="1" applyFont="1" applyFill="1"/>
    <xf numFmtId="0" fontId="17" fillId="0" borderId="0" xfId="15" applyFont="1"/>
    <xf numFmtId="0" fontId="17" fillId="14" borderId="0" xfId="15" applyFont="1" applyFill="1"/>
    <xf numFmtId="0" fontId="19" fillId="0" borderId="0" xfId="15" applyFont="1" applyAlignment="1">
      <alignment horizontal="left"/>
    </xf>
    <xf numFmtId="171" fontId="17" fillId="0" borderId="0" xfId="13" applyNumberFormat="1" applyFont="1"/>
    <xf numFmtId="0" fontId="19" fillId="13" borderId="0" xfId="13" applyFont="1" applyFill="1"/>
    <xf numFmtId="0" fontId="19" fillId="14" borderId="0" xfId="13" applyFont="1" applyFill="1"/>
    <xf numFmtId="0" fontId="2" fillId="13" borderId="0" xfId="8" applyFont="1" applyFill="1"/>
    <xf numFmtId="1" fontId="19" fillId="14" borderId="0" xfId="13" applyNumberFormat="1" applyFont="1" applyFill="1"/>
    <xf numFmtId="171" fontId="17" fillId="14" borderId="0" xfId="13" applyNumberFormat="1" applyFont="1" applyFill="1"/>
    <xf numFmtId="0" fontId="19" fillId="0" borderId="3" xfId="8" applyFont="1" applyBorder="1"/>
    <xf numFmtId="0" fontId="17" fillId="0" borderId="0" xfId="11" applyFont="1"/>
    <xf numFmtId="0" fontId="19" fillId="0" borderId="1" xfId="11" applyFont="1" applyBorder="1"/>
    <xf numFmtId="0" fontId="19" fillId="0" borderId="0" xfId="13" applyFont="1"/>
    <xf numFmtId="0" fontId="19" fillId="0" borderId="2" xfId="11" applyFont="1" applyBorder="1"/>
    <xf numFmtId="0" fontId="19" fillId="0" borderId="0" xfId="17" applyFont="1"/>
    <xf numFmtId="171" fontId="17" fillId="0" borderId="0" xfId="16" applyNumberFormat="1" applyFont="1" applyFill="1" applyBorder="1" applyAlignment="1">
      <alignment horizontal="center" vertical="center"/>
    </xf>
    <xf numFmtId="0" fontId="17" fillId="0" borderId="0" xfId="17" applyFont="1"/>
    <xf numFmtId="0" fontId="17" fillId="0" borderId="0" xfId="18" applyFont="1" applyAlignment="1">
      <alignment vertical="center"/>
    </xf>
    <xf numFmtId="171" fontId="17" fillId="0" borderId="0" xfId="16" applyNumberFormat="1" applyFont="1" applyFill="1"/>
    <xf numFmtId="0" fontId="19" fillId="13" borderId="1" xfId="13" applyFont="1" applyFill="1" applyBorder="1"/>
    <xf numFmtId="165" fontId="1" fillId="2" borderId="2" xfId="0" applyNumberFormat="1" applyFont="1" applyFill="1" applyBorder="1"/>
    <xf numFmtId="164" fontId="17" fillId="14" borderId="0" xfId="13" applyNumberFormat="1" applyFont="1" applyFill="1"/>
    <xf numFmtId="164" fontId="17" fillId="14" borderId="0" xfId="14" applyNumberFormat="1" applyFont="1" applyFill="1"/>
    <xf numFmtId="164" fontId="19" fillId="14" borderId="1" xfId="13" applyNumberFormat="1" applyFont="1" applyFill="1" applyBorder="1"/>
    <xf numFmtId="164" fontId="19" fillId="14" borderId="1" xfId="14" applyNumberFormat="1" applyFont="1" applyFill="1" applyBorder="1"/>
    <xf numFmtId="164" fontId="19" fillId="14" borderId="2" xfId="13" applyNumberFormat="1" applyFont="1" applyFill="1" applyBorder="1"/>
    <xf numFmtId="164" fontId="17" fillId="14" borderId="0" xfId="14" applyNumberFormat="1" applyFont="1" applyFill="1" applyAlignment="1">
      <alignment horizontal="center"/>
    </xf>
    <xf numFmtId="175" fontId="17" fillId="14" borderId="0" xfId="13" applyNumberFormat="1" applyFont="1" applyFill="1"/>
    <xf numFmtId="1" fontId="53" fillId="2" borderId="0" xfId="0" applyNumberFormat="1" applyFont="1" applyFill="1"/>
    <xf numFmtId="0" fontId="29" fillId="2" borderId="0" xfId="3" applyFont="1" applyFill="1" applyAlignment="1">
      <alignment horizontal="left" indent="1"/>
    </xf>
    <xf numFmtId="166" fontId="10" fillId="2" borderId="0" xfId="0" applyNumberFormat="1" applyFont="1" applyFill="1"/>
    <xf numFmtId="0" fontId="1" fillId="2" borderId="3" xfId="0" applyFont="1" applyFill="1" applyBorder="1" applyAlignment="1">
      <alignment vertical="top" wrapText="1"/>
    </xf>
    <xf numFmtId="0" fontId="0" fillId="2" borderId="24" xfId="0" applyFill="1" applyBorder="1" applyAlignment="1">
      <alignment vertical="top" wrapText="1"/>
    </xf>
    <xf numFmtId="0" fontId="0" fillId="2" borderId="25" xfId="0" applyFill="1" applyBorder="1" applyAlignment="1">
      <alignment vertical="top" wrapText="1"/>
    </xf>
    <xf numFmtId="3" fontId="0" fillId="0" borderId="0" xfId="0" applyNumberFormat="1"/>
    <xf numFmtId="0" fontId="1" fillId="2" borderId="25" xfId="0" applyFont="1" applyFill="1" applyBorder="1" applyAlignment="1">
      <alignment vertical="top" wrapText="1"/>
    </xf>
    <xf numFmtId="0" fontId="2" fillId="2" borderId="25" xfId="0" applyFont="1" applyFill="1" applyBorder="1" applyAlignment="1">
      <alignment vertical="top" wrapText="1"/>
    </xf>
    <xf numFmtId="10" fontId="0" fillId="2" borderId="0" xfId="1" applyNumberFormat="1" applyFont="1" applyFill="1"/>
    <xf numFmtId="0" fontId="29" fillId="2" borderId="0" xfId="3" applyFont="1" applyFill="1"/>
    <xf numFmtId="164" fontId="29" fillId="2" borderId="0" xfId="0" applyNumberFormat="1" applyFont="1" applyFill="1"/>
    <xf numFmtId="164" fontId="29" fillId="7" borderId="4" xfId="0" applyNumberFormat="1" applyFont="1" applyFill="1" applyBorder="1"/>
    <xf numFmtId="0" fontId="43" fillId="2" borderId="0" xfId="3" applyFont="1" applyFill="1"/>
    <xf numFmtId="0" fontId="29" fillId="2" borderId="0" xfId="3" applyFont="1" applyFill="1" applyAlignment="1">
      <alignment horizontal="left" indent="3"/>
    </xf>
    <xf numFmtId="0" fontId="43" fillId="2" borderId="1" xfId="0" applyFont="1" applyFill="1" applyBorder="1" applyAlignment="1">
      <alignment horizontal="left" indent="2"/>
    </xf>
    <xf numFmtId="9" fontId="1" fillId="2" borderId="0" xfId="1" applyFont="1" applyFill="1"/>
    <xf numFmtId="9" fontId="15" fillId="2" borderId="0" xfId="1" applyFont="1" applyFill="1" applyBorder="1"/>
    <xf numFmtId="2" fontId="15" fillId="2" borderId="0" xfId="1" applyNumberFormat="1" applyFont="1" applyFill="1"/>
    <xf numFmtId="169" fontId="8" fillId="3" borderId="0" xfId="0" applyNumberFormat="1" applyFont="1" applyFill="1" applyAlignment="1">
      <alignment horizontal="right"/>
    </xf>
    <xf numFmtId="9" fontId="0" fillId="2" borderId="0" xfId="1" applyFont="1" applyFill="1"/>
    <xf numFmtId="166" fontId="15" fillId="3" borderId="0" xfId="1" applyNumberFormat="1" applyFont="1" applyFill="1"/>
    <xf numFmtId="166" fontId="8" fillId="3" borderId="0" xfId="1" applyNumberFormat="1" applyFont="1" applyFill="1"/>
    <xf numFmtId="0" fontId="54" fillId="5" borderId="27" xfId="0" applyFont="1" applyFill="1" applyBorder="1"/>
    <xf numFmtId="168" fontId="54" fillId="5" borderId="27" xfId="0" applyNumberFormat="1" applyFont="1" applyFill="1" applyBorder="1" applyAlignment="1">
      <alignment horizontal="right"/>
    </xf>
    <xf numFmtId="0" fontId="14" fillId="16" borderId="27" xfId="0" applyFont="1" applyFill="1" applyBorder="1"/>
    <xf numFmtId="169" fontId="15" fillId="16" borderId="27" xfId="0" applyNumberFormat="1" applyFont="1" applyFill="1" applyBorder="1"/>
    <xf numFmtId="0" fontId="14" fillId="0" borderId="0" xfId="0" applyFont="1"/>
    <xf numFmtId="169" fontId="15" fillId="0" borderId="0" xfId="0" applyNumberFormat="1" applyFont="1"/>
    <xf numFmtId="0" fontId="14" fillId="16" borderId="0" xfId="0" applyFont="1" applyFill="1"/>
    <xf numFmtId="169" fontId="15" fillId="16" borderId="0" xfId="0" applyNumberFormat="1" applyFont="1" applyFill="1"/>
    <xf numFmtId="0" fontId="14" fillId="16" borderId="26" xfId="0" applyFont="1" applyFill="1" applyBorder="1"/>
    <xf numFmtId="169" fontId="15" fillId="16" borderId="26" xfId="0" applyNumberFormat="1" applyFont="1" applyFill="1" applyBorder="1"/>
    <xf numFmtId="169" fontId="14" fillId="16" borderId="27" xfId="0" applyNumberFormat="1" applyFont="1" applyFill="1" applyBorder="1"/>
    <xf numFmtId="169" fontId="14" fillId="0" borderId="0" xfId="0" applyNumberFormat="1" applyFont="1"/>
    <xf numFmtId="169" fontId="14" fillId="16" borderId="0" xfId="0" applyNumberFormat="1" applyFont="1" applyFill="1"/>
    <xf numFmtId="169" fontId="14" fillId="16" borderId="26" xfId="0" applyNumberFormat="1" applyFont="1" applyFill="1" applyBorder="1"/>
    <xf numFmtId="0" fontId="1" fillId="2" borderId="8" xfId="0" applyFont="1" applyFill="1" applyBorder="1"/>
    <xf numFmtId="169" fontId="0" fillId="2" borderId="1" xfId="0" applyNumberFormat="1" applyFill="1" applyBorder="1"/>
    <xf numFmtId="169" fontId="0" fillId="2" borderId="8" xfId="0" applyNumberFormat="1" applyFill="1" applyBorder="1"/>
    <xf numFmtId="169" fontId="14" fillId="16" borderId="0" xfId="0" applyNumberFormat="1" applyFont="1" applyFill="1" applyAlignment="1">
      <alignment horizontal="right"/>
    </xf>
    <xf numFmtId="166" fontId="0" fillId="2" borderId="8" xfId="1" applyNumberFormat="1" applyFont="1" applyFill="1" applyBorder="1"/>
    <xf numFmtId="166" fontId="14" fillId="16" borderId="27" xfId="1" applyNumberFormat="1" applyFont="1" applyFill="1" applyBorder="1"/>
    <xf numFmtId="166" fontId="14" fillId="0" borderId="0" xfId="1" applyNumberFormat="1" applyFont="1" applyBorder="1"/>
    <xf numFmtId="166" fontId="14" fillId="16" borderId="0" xfId="1" applyNumberFormat="1" applyFont="1" applyFill="1" applyBorder="1"/>
    <xf numFmtId="166" fontId="14" fillId="16" borderId="0" xfId="1" applyNumberFormat="1" applyFont="1" applyFill="1" applyBorder="1" applyAlignment="1">
      <alignment horizontal="right"/>
    </xf>
    <xf numFmtId="166" fontId="14" fillId="16" borderId="26" xfId="1" applyNumberFormat="1" applyFont="1" applyFill="1" applyBorder="1"/>
    <xf numFmtId="0" fontId="9" fillId="4" borderId="0" xfId="0" applyFont="1" applyFill="1" applyAlignment="1">
      <alignment horizontal="center"/>
    </xf>
    <xf numFmtId="165" fontId="0" fillId="4" borderId="0" xfId="0" applyNumberFormat="1" applyFill="1"/>
    <xf numFmtId="164" fontId="0" fillId="2" borderId="0" xfId="0" applyNumberFormat="1" applyFill="1" applyAlignment="1">
      <alignment horizontal="right"/>
    </xf>
    <xf numFmtId="164" fontId="1" fillId="2" borderId="0" xfId="0" applyNumberFormat="1" applyFont="1" applyFill="1" applyAlignment="1">
      <alignment horizontal="right"/>
    </xf>
    <xf numFmtId="9" fontId="0" fillId="7" borderId="0" xfId="0" applyNumberFormat="1" applyFill="1"/>
    <xf numFmtId="166" fontId="19" fillId="2" borderId="0" xfId="1" applyNumberFormat="1" applyFont="1" applyFill="1" applyBorder="1"/>
    <xf numFmtId="1" fontId="1" fillId="2" borderId="0" xfId="0" applyNumberFormat="1" applyFont="1" applyFill="1"/>
    <xf numFmtId="166" fontId="2" fillId="2" borderId="0" xfId="1" applyNumberFormat="1" applyFont="1" applyFill="1" applyAlignment="1">
      <alignment horizontal="center"/>
    </xf>
    <xf numFmtId="164" fontId="15" fillId="2" borderId="0" xfId="0" applyNumberFormat="1" applyFont="1" applyFill="1" applyAlignment="1">
      <alignment horizontal="right"/>
    </xf>
    <xf numFmtId="165" fontId="8" fillId="2" borderId="0" xfId="0" applyNumberFormat="1" applyFont="1" applyFill="1" applyAlignment="1">
      <alignment horizontal="center"/>
    </xf>
    <xf numFmtId="165" fontId="1" fillId="3" borderId="22" xfId="0" applyNumberFormat="1" applyFont="1" applyFill="1" applyBorder="1" applyAlignment="1">
      <alignment horizontal="center"/>
    </xf>
    <xf numFmtId="166" fontId="8" fillId="7" borderId="4" xfId="1" applyNumberFormat="1" applyFont="1" applyFill="1" applyBorder="1" applyAlignment="1">
      <alignment horizontal="center"/>
    </xf>
    <xf numFmtId="166" fontId="8" fillId="7" borderId="5" xfId="1" applyNumberFormat="1" applyFont="1" applyFill="1" applyBorder="1" applyAlignment="1">
      <alignment horizontal="center"/>
    </xf>
    <xf numFmtId="0" fontId="1" fillId="2" borderId="0" xfId="0" applyFont="1" applyFill="1" applyAlignment="1">
      <alignment horizontal="right"/>
    </xf>
    <xf numFmtId="0" fontId="1" fillId="2" borderId="3" xfId="0" applyFont="1" applyFill="1" applyBorder="1" applyAlignment="1">
      <alignment horizontal="right"/>
    </xf>
    <xf numFmtId="169" fontId="1" fillId="2" borderId="0" xfId="0" applyNumberFormat="1" applyFont="1" applyFill="1"/>
    <xf numFmtId="10" fontId="0" fillId="2" borderId="0" xfId="0" applyNumberFormat="1" applyFill="1"/>
    <xf numFmtId="166" fontId="17" fillId="2" borderId="0" xfId="0" applyNumberFormat="1" applyFont="1" applyFill="1"/>
    <xf numFmtId="166" fontId="2" fillId="2" borderId="0" xfId="0" applyNumberFormat="1" applyFont="1" applyFill="1"/>
    <xf numFmtId="17" fontId="17" fillId="2" borderId="0" xfId="0" applyNumberFormat="1" applyFont="1" applyFill="1"/>
    <xf numFmtId="0" fontId="1" fillId="4" borderId="0" xfId="0" applyFont="1" applyFill="1"/>
    <xf numFmtId="164" fontId="1" fillId="4" borderId="0" xfId="0" applyNumberFormat="1" applyFont="1" applyFill="1"/>
    <xf numFmtId="177" fontId="9" fillId="2" borderId="0" xfId="0" applyNumberFormat="1" applyFont="1" applyFill="1" applyAlignment="1">
      <alignment horizontal="center"/>
    </xf>
    <xf numFmtId="1" fontId="1" fillId="2" borderId="1" xfId="0" applyNumberFormat="1" applyFont="1" applyFill="1" applyBorder="1"/>
    <xf numFmtId="1" fontId="3" fillId="7" borderId="4" xfId="0" applyNumberFormat="1" applyFont="1" applyFill="1" applyBorder="1"/>
    <xf numFmtId="0" fontId="19" fillId="2" borderId="3" xfId="21" applyFont="1" applyFill="1" applyBorder="1"/>
    <xf numFmtId="14" fontId="0" fillId="2" borderId="0" xfId="0" applyNumberFormat="1" applyFill="1"/>
    <xf numFmtId="17" fontId="56" fillId="2" borderId="0" xfId="22" applyNumberFormat="1" applyFont="1" applyFill="1"/>
    <xf numFmtId="0" fontId="0" fillId="11" borderId="0" xfId="0" applyFill="1"/>
    <xf numFmtId="169" fontId="38" fillId="11" borderId="0" xfId="0" applyNumberFormat="1" applyFont="1" applyFill="1" applyAlignment="1">
      <alignment horizontal="center"/>
    </xf>
    <xf numFmtId="0" fontId="38" fillId="11" borderId="0" xfId="0" applyFont="1" applyFill="1" applyAlignment="1">
      <alignment horizontal="center"/>
    </xf>
    <xf numFmtId="0" fontId="38" fillId="2" borderId="0" xfId="0" applyFont="1" applyFill="1" applyAlignment="1">
      <alignment horizontal="center"/>
    </xf>
    <xf numFmtId="184" fontId="0" fillId="2" borderId="0" xfId="0" applyNumberFormat="1" applyFill="1"/>
    <xf numFmtId="166" fontId="0" fillId="7" borderId="0" xfId="0" applyNumberFormat="1" applyFill="1"/>
    <xf numFmtId="1" fontId="0" fillId="0" borderId="0" xfId="0" applyNumberFormat="1"/>
    <xf numFmtId="1" fontId="0" fillId="7" borderId="0" xfId="0" applyNumberFormat="1" applyFill="1"/>
    <xf numFmtId="9" fontId="14" fillId="2" borderId="0" xfId="1" applyFont="1" applyFill="1" applyBorder="1"/>
    <xf numFmtId="0" fontId="2" fillId="13" borderId="0" xfId="23" applyFont="1" applyFill="1"/>
    <xf numFmtId="0" fontId="17" fillId="0" borderId="0" xfId="24" applyFont="1"/>
    <xf numFmtId="166" fontId="8" fillId="3" borderId="0" xfId="1" applyNumberFormat="1" applyFont="1" applyFill="1" applyBorder="1"/>
    <xf numFmtId="9" fontId="1" fillId="2" borderId="0" xfId="0" applyNumberFormat="1" applyFont="1" applyFill="1"/>
    <xf numFmtId="1" fontId="4" fillId="2" borderId="1" xfId="0" applyNumberFormat="1" applyFont="1" applyFill="1" applyBorder="1"/>
    <xf numFmtId="175" fontId="2" fillId="2" borderId="0" xfId="0" applyNumberFormat="1" applyFont="1" applyFill="1"/>
    <xf numFmtId="165" fontId="8" fillId="7" borderId="4" xfId="0" applyNumberFormat="1" applyFont="1" applyFill="1" applyBorder="1"/>
    <xf numFmtId="166" fontId="14" fillId="7" borderId="5" xfId="1" applyNumberFormat="1" applyFont="1" applyFill="1" applyBorder="1"/>
    <xf numFmtId="164" fontId="20" fillId="2" borderId="1" xfId="0" applyNumberFormat="1" applyFont="1" applyFill="1" applyBorder="1"/>
    <xf numFmtId="164" fontId="20" fillId="2" borderId="2" xfId="0" applyNumberFormat="1" applyFont="1" applyFill="1" applyBorder="1"/>
    <xf numFmtId="0" fontId="57" fillId="0" borderId="0" xfId="0" applyFont="1" applyAlignment="1">
      <alignment vertical="center"/>
    </xf>
    <xf numFmtId="165" fontId="15" fillId="2" borderId="0" xfId="0" applyNumberFormat="1" applyFont="1" applyFill="1" applyAlignment="1">
      <alignment horizontal="center"/>
    </xf>
    <xf numFmtId="164" fontId="45" fillId="2" borderId="9" xfId="0" applyNumberFormat="1" applyFont="1" applyFill="1" applyBorder="1" applyAlignment="1">
      <alignment horizontal="center" vertical="top"/>
    </xf>
    <xf numFmtId="164" fontId="45" fillId="2" borderId="12" xfId="0" applyNumberFormat="1" applyFont="1" applyFill="1" applyBorder="1" applyAlignment="1">
      <alignment horizontal="center" vertical="top"/>
    </xf>
  </cellXfs>
  <cellStyles count="25">
    <cellStyle name="%" xfId="8" xr:uid="{5F8DD76E-F0B8-4D32-9B48-4DFAB8CC904D}"/>
    <cellStyle name="% 2 2" xfId="23" xr:uid="{835DA312-54C9-48AF-999C-9D47934D7568}"/>
    <cellStyle name="% 2 3" xfId="24" xr:uid="{409064D9-4D77-40EC-B5F3-AF77A8FA3F83}"/>
    <cellStyle name="% 3" xfId="10" xr:uid="{A79B3D21-EE84-45DE-9701-5F3F66CDDD50}"/>
    <cellStyle name="Comma 2" xfId="16" xr:uid="{68156A13-4C1C-485F-BF36-5E15119916F1}"/>
    <cellStyle name="Comma_BT3" xfId="14" xr:uid="{C47A30CB-19A6-471D-B13B-99B05F8558B7}"/>
    <cellStyle name="Diseño" xfId="6" xr:uid="{C9F40278-E244-42F4-9490-08F19FE010D0}"/>
    <cellStyle name="Hyperlink" xfId="9" builtinId="8"/>
    <cellStyle name="Hyperlink 3" xfId="12" xr:uid="{68A316C7-39A1-4E54-B6F3-1C368C5AF5C3}"/>
    <cellStyle name="Normal" xfId="0" builtinId="0"/>
    <cellStyle name="Normal 1" xfId="20" xr:uid="{93904C7B-7C56-4600-8472-6513F7BB0FF9}"/>
    <cellStyle name="Normal 12" xfId="21" xr:uid="{0373F8A0-2F6B-45DB-859A-7D6DFB8BE168}"/>
    <cellStyle name="Normal 2" xfId="3" xr:uid="{AEFFF8F9-7423-40E3-8013-408DF41CEA9E}"/>
    <cellStyle name="Normal 2 2" xfId="5" xr:uid="{84D1141C-CEDA-49F5-83BD-3B95D3D37DBA}"/>
    <cellStyle name="Normal 2 4" xfId="22" xr:uid="{60DCBD61-D3B6-4F3E-90E4-654A1B288CD7}"/>
    <cellStyle name="Normal 7 2" xfId="11" xr:uid="{63465C43-4F25-480E-9C1F-3045F949AAB9}"/>
    <cellStyle name="Normal_bt debt model" xfId="15" xr:uid="{2C8159F3-975C-4BFA-B129-76CF4410F8F0}"/>
    <cellStyle name="Normal_BT3" xfId="13" xr:uid="{ADCC0A3F-37A5-40EB-BEF0-F54EF3582FD7}"/>
    <cellStyle name="Normal_FTsummod1" xfId="18" xr:uid="{CAEF39AA-D96B-4A3F-BE04-E25D84805F9F}"/>
    <cellStyle name="Normal_MATAV_wip" xfId="7" xr:uid="{0B339B8E-BBFB-4061-B2CE-174753CC990E}"/>
    <cellStyle name="Normal_telka_Q305" xfId="17" xr:uid="{7152B463-A300-4590-AC19-8CAE2FA0FD77}"/>
    <cellStyle name="Normal_TNOR_current" xfId="2" xr:uid="{B0AF618E-CF34-48D7-8034-0941A74B4C05}"/>
    <cellStyle name="Percent" xfId="1" builtinId="5"/>
    <cellStyle name="Percent 2" xfId="19" xr:uid="{3AA9A8F7-B8B2-4C12-919D-6EDFDDB7C5B4}"/>
    <cellStyle name="Percent 3" xfId="4" xr:uid="{9CDF2C34-F078-48AF-86F8-B7B2528A5404}"/>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2.xml"/><Relationship Id="rId1" Type="http://schemas.microsoft.com/office/2011/relationships/chartStyle" Target="style42.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4.xml"/><Relationship Id="rId1" Type="http://schemas.microsoft.com/office/2011/relationships/chartStyle" Target="style44.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5.xml"/><Relationship Id="rId1" Type="http://schemas.microsoft.com/office/2011/relationships/chartStyle" Target="style45.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6.xml"/><Relationship Id="rId1" Type="http://schemas.microsoft.com/office/2011/relationships/chartStyle" Target="style46.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7.xml"/><Relationship Id="rId1" Type="http://schemas.microsoft.com/office/2011/relationships/chartStyle" Target="style47.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8.xml"/><Relationship Id="rId1" Type="http://schemas.microsoft.com/office/2011/relationships/chartStyle" Target="style48.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Ex2.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rgbClr val="263238"/>
              </a:solidFill>
              <a:ln>
                <a:noFill/>
              </a:ln>
              <a:effectLst/>
            </c:spPr>
            <c:extLst>
              <c:ext xmlns:c16="http://schemas.microsoft.com/office/drawing/2014/chart" uri="{C3380CC4-5D6E-409C-BE32-E72D297353CC}">
                <c16:uniqueId val="{00000001-6722-4C42-89B0-C96EAFF36FDB}"/>
              </c:ext>
            </c:extLst>
          </c:dPt>
          <c:dPt>
            <c:idx val="1"/>
            <c:bubble3D val="0"/>
            <c:spPr>
              <a:solidFill>
                <a:srgbClr val="799098"/>
              </a:solidFill>
              <a:ln>
                <a:noFill/>
              </a:ln>
              <a:effectLst/>
            </c:spPr>
            <c:extLst>
              <c:ext xmlns:c16="http://schemas.microsoft.com/office/drawing/2014/chart" uri="{C3380CC4-5D6E-409C-BE32-E72D297353CC}">
                <c16:uniqueId val="{00000003-6722-4C42-89B0-C96EAFF36FDB}"/>
              </c:ext>
            </c:extLst>
          </c:dPt>
          <c:dPt>
            <c:idx val="2"/>
            <c:bubble3D val="0"/>
            <c:spPr>
              <a:solidFill>
                <a:srgbClr val="F9663E"/>
              </a:solidFill>
              <a:ln>
                <a:noFill/>
              </a:ln>
              <a:effectLst/>
            </c:spPr>
            <c:extLst>
              <c:ext xmlns:c16="http://schemas.microsoft.com/office/drawing/2014/chart" uri="{C3380CC4-5D6E-409C-BE32-E72D297353CC}">
                <c16:uniqueId val="{00000005-6722-4C42-89B0-C96EAFF36FDB}"/>
              </c:ext>
            </c:extLst>
          </c:dPt>
          <c:dPt>
            <c:idx val="3"/>
            <c:bubble3D val="0"/>
            <c:spPr>
              <a:solidFill>
                <a:schemeClr val="accent4"/>
              </a:solidFill>
              <a:ln>
                <a:noFill/>
              </a:ln>
              <a:effectLst/>
            </c:spPr>
            <c:extLst>
              <c:ext xmlns:c16="http://schemas.microsoft.com/office/drawing/2014/chart" uri="{C3380CC4-5D6E-409C-BE32-E72D297353CC}">
                <c16:uniqueId val="{00000007-6722-4C42-89B0-C96EAFF36FDB}"/>
              </c:ext>
            </c:extLst>
          </c:dPt>
          <c:dPt>
            <c:idx val="4"/>
            <c:bubble3D val="0"/>
            <c:spPr>
              <a:solidFill>
                <a:srgbClr val="00CA94"/>
              </a:solidFill>
              <a:ln>
                <a:noFill/>
              </a:ln>
              <a:effectLst/>
            </c:spPr>
            <c:extLst>
              <c:ext xmlns:c16="http://schemas.microsoft.com/office/drawing/2014/chart" uri="{C3380CC4-5D6E-409C-BE32-E72D297353CC}">
                <c16:uniqueId val="{00000009-6722-4C42-89B0-C96EAFF36FDB}"/>
              </c:ext>
            </c:extLst>
          </c:dPt>
          <c:dPt>
            <c:idx val="5"/>
            <c:bubble3D val="0"/>
            <c:spPr>
              <a:solidFill>
                <a:srgbClr val="465A63"/>
              </a:solidFill>
              <a:ln>
                <a:noFill/>
              </a:ln>
              <a:effectLst/>
            </c:spPr>
            <c:extLst>
              <c:ext xmlns:c16="http://schemas.microsoft.com/office/drawing/2014/chart" uri="{C3380CC4-5D6E-409C-BE32-E72D297353CC}">
                <c16:uniqueId val="{0000000B-6722-4C42-89B0-C96EAFF36FDB}"/>
              </c:ext>
            </c:extLst>
          </c:dPt>
          <c:dPt>
            <c:idx val="6"/>
            <c:bubble3D val="0"/>
            <c:spPr>
              <a:solidFill>
                <a:srgbClr val="B0BEC5"/>
              </a:solidFill>
              <a:ln>
                <a:noFill/>
              </a:ln>
              <a:effectLst/>
            </c:spPr>
            <c:extLst>
              <c:ext xmlns:c16="http://schemas.microsoft.com/office/drawing/2014/chart" uri="{C3380CC4-5D6E-409C-BE32-E72D297353CC}">
                <c16:uniqueId val="{0000000D-6722-4C42-89B0-C96EAFF36FDB}"/>
              </c:ext>
            </c:extLst>
          </c:dPt>
          <c:dPt>
            <c:idx val="7"/>
            <c:bubble3D val="0"/>
            <c:spPr>
              <a:solidFill>
                <a:srgbClr val="F19375"/>
              </a:solidFill>
              <a:ln>
                <a:noFill/>
              </a:ln>
              <a:effectLst/>
            </c:spPr>
            <c:extLst>
              <c:ext xmlns:c16="http://schemas.microsoft.com/office/drawing/2014/chart" uri="{C3380CC4-5D6E-409C-BE32-E72D297353CC}">
                <c16:uniqueId val="{0000000F-6722-4C42-89B0-C96EAFF36FDB}"/>
              </c:ext>
            </c:extLst>
          </c:dPt>
          <c:dPt>
            <c:idx val="8"/>
            <c:bubble3D val="0"/>
            <c:spPr>
              <a:solidFill>
                <a:srgbClr val="E3F982"/>
              </a:solidFill>
              <a:ln>
                <a:noFill/>
              </a:ln>
              <a:effectLst/>
            </c:spPr>
            <c:extLst>
              <c:ext xmlns:c16="http://schemas.microsoft.com/office/drawing/2014/chart" uri="{C3380CC4-5D6E-409C-BE32-E72D297353CC}">
                <c16:uniqueId val="{00000011-6722-4C42-89B0-C96EAFF36FDB}"/>
              </c:ext>
            </c:extLst>
          </c:dPt>
          <c:dPt>
            <c:idx val="9"/>
            <c:bubble3D val="0"/>
            <c:spPr>
              <a:solidFill>
                <a:srgbClr val="80D4C1"/>
              </a:solidFill>
              <a:ln>
                <a:noFill/>
              </a:ln>
              <a:effectLst/>
            </c:spPr>
            <c:extLst>
              <c:ext xmlns:c16="http://schemas.microsoft.com/office/drawing/2014/chart" uri="{C3380CC4-5D6E-409C-BE32-E72D297353CC}">
                <c16:uniqueId val="{00000013-6722-4C42-89B0-C96EAFF36FDB}"/>
              </c:ext>
            </c:extLst>
          </c:dPt>
          <c:dLbls>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D-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'Initiation charts'!$C$11:$C$13</c:f>
              <c:strCache>
                <c:ptCount val="3"/>
                <c:pt idx="0">
                  <c:v>Kyivstar</c:v>
                </c:pt>
                <c:pt idx="1">
                  <c:v>Vodafone Ukraine</c:v>
                </c:pt>
                <c:pt idx="2">
                  <c:v>Lifecell</c:v>
                </c:pt>
              </c:strCache>
            </c:strRef>
          </c:cat>
          <c:val>
            <c:numRef>
              <c:f>'Initiation charts'!$H$11:$H$13</c:f>
              <c:numCache>
                <c:formatCode>0.0%</c:formatCode>
                <c:ptCount val="3"/>
                <c:pt idx="0">
                  <c:v>0.47199999999999998</c:v>
                </c:pt>
                <c:pt idx="1">
                  <c:v>0.32400000000000001</c:v>
                </c:pt>
                <c:pt idx="2">
                  <c:v>0.20399999999999996</c:v>
                </c:pt>
              </c:numCache>
            </c:numRef>
          </c:val>
          <c:extLst>
            <c:ext xmlns:c16="http://schemas.microsoft.com/office/drawing/2014/chart" uri="{C3380CC4-5D6E-409C-BE32-E72D297353CC}">
              <c16:uniqueId val="{00000014-6722-4C42-89B0-C96EAFF36FDB}"/>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694876475905232E-2"/>
          <c:y val="3.3779829983721844E-2"/>
          <c:w val="0.90419105504191699"/>
          <c:h val="0.73498171810776214"/>
        </c:manualLayout>
      </c:layout>
      <c:barChart>
        <c:barDir val="col"/>
        <c:grouping val="clustered"/>
        <c:varyColors val="0"/>
        <c:ser>
          <c:idx val="0"/>
          <c:order val="0"/>
          <c:tx>
            <c:strRef>
              <c:f>'Initiation charts'!$C$65</c:f>
              <c:strCache>
                <c:ptCount val="1"/>
                <c:pt idx="0">
                  <c:v>Digital MAU</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charts'!$D$64:$M$64</c:f>
              <c:strCache>
                <c:ptCount val="10"/>
                <c:pt idx="0">
                  <c:v>1Q23</c:v>
                </c:pt>
                <c:pt idx="1">
                  <c:v>2Q23</c:v>
                </c:pt>
                <c:pt idx="2">
                  <c:v>3Q23</c:v>
                </c:pt>
                <c:pt idx="3">
                  <c:v>4Q23</c:v>
                </c:pt>
                <c:pt idx="4">
                  <c:v>1Q24</c:v>
                </c:pt>
                <c:pt idx="5">
                  <c:v>2Q24</c:v>
                </c:pt>
                <c:pt idx="6">
                  <c:v>3Q24</c:v>
                </c:pt>
                <c:pt idx="7">
                  <c:v>4Q24</c:v>
                </c:pt>
                <c:pt idx="8">
                  <c:v>1Q25</c:v>
                </c:pt>
                <c:pt idx="9">
                  <c:v>2Q25</c:v>
                </c:pt>
              </c:strCache>
            </c:strRef>
          </c:cat>
          <c:val>
            <c:numRef>
              <c:f>'Initiation charts'!$D$65:$M$65</c:f>
              <c:numCache>
                <c:formatCode>_(* #,##0.0_);_(* \(#,##0.0\);_(* "-"_);_(@_)</c:formatCode>
                <c:ptCount val="10"/>
                <c:pt idx="0">
                  <c:v>6.7</c:v>
                </c:pt>
                <c:pt idx="1">
                  <c:v>6.5</c:v>
                </c:pt>
                <c:pt idx="2">
                  <c:v>7.1</c:v>
                </c:pt>
                <c:pt idx="3">
                  <c:v>8.1999999999999993</c:v>
                </c:pt>
                <c:pt idx="4">
                  <c:v>7.7</c:v>
                </c:pt>
                <c:pt idx="5">
                  <c:v>8.8000000000000007</c:v>
                </c:pt>
                <c:pt idx="6">
                  <c:v>9</c:v>
                </c:pt>
                <c:pt idx="7">
                  <c:v>10.6</c:v>
                </c:pt>
                <c:pt idx="8">
                  <c:v>10.3</c:v>
                </c:pt>
                <c:pt idx="9">
                  <c:v>13.4</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_(* #,##0.0_);_(* \(#,##0.0\);_(* &quot;-&quot;_);_(@_)"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charts'!$C$177</c:f>
              <c:strCache>
                <c:ptCount val="1"/>
                <c:pt idx="0">
                  <c:v>ROIC</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charts'!$C$178:$C$179</c:f>
              <c:strCache>
                <c:ptCount val="2"/>
                <c:pt idx="0">
                  <c:v>Kyivstar</c:v>
                </c:pt>
                <c:pt idx="1">
                  <c:v>Vodafone Ukraine</c:v>
                </c:pt>
              </c:strCache>
            </c:strRef>
          </c:cat>
          <c:val>
            <c:numRef>
              <c:f>'Initiation charts'!$D$178:$D$179</c:f>
              <c:numCache>
                <c:formatCode>0.0%</c:formatCode>
                <c:ptCount val="2"/>
                <c:pt idx="0">
                  <c:v>0.15</c:v>
                </c:pt>
                <c:pt idx="1">
                  <c:v>0.187</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charts'!$C$75</c:f>
              <c:strCache>
                <c:ptCount val="1"/>
                <c:pt idx="0">
                  <c:v>Net Revenue - Kyivstar, US$ m</c:v>
                </c:pt>
              </c:strCache>
            </c:strRef>
          </c:tx>
          <c:spPr>
            <a:solidFill>
              <a:srgbClr val="263238"/>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charts'!$E$75:$Q$75</c:f>
              <c:numCache>
                <c:formatCode>0</c:formatCode>
                <c:ptCount val="13"/>
                <c:pt idx="0">
                  <c:v>2.8967203412722049</c:v>
                </c:pt>
                <c:pt idx="1">
                  <c:v>5.2016932270916341</c:v>
                </c:pt>
                <c:pt idx="2">
                  <c:v>7.808214415067007</c:v>
                </c:pt>
                <c:pt idx="3">
                  <c:v>10.079351608837378</c:v>
                </c:pt>
                <c:pt idx="4">
                  <c:v>12.620500140162546</c:v>
                </c:pt>
                <c:pt idx="5">
                  <c:v>15.396562257975148</c:v>
                </c:pt>
                <c:pt idx="6">
                  <c:v>18.364835308332047</c:v>
                </c:pt>
                <c:pt idx="7">
                  <c:v>21.477622221650254</c:v>
                </c:pt>
                <c:pt idx="8">
                  <c:v>24.684818790597532</c:v>
                </c:pt>
                <c:pt idx="9">
                  <c:v>27.936279814226644</c:v>
                </c:pt>
                <c:pt idx="10">
                  <c:v>31.183830633146851</c:v>
                </c:pt>
                <c:pt idx="11">
                  <c:v>34.382852747850308</c:v>
                </c:pt>
                <c:pt idx="12">
                  <c:v>37.49342506839227</c:v>
                </c:pt>
              </c:numCache>
            </c:numRef>
          </c:val>
          <c:extLst>
            <c:ext xmlns:c16="http://schemas.microsoft.com/office/drawing/2014/chart" uri="{C3380CC4-5D6E-409C-BE32-E72D297353CC}">
              <c16:uniqueId val="{00000000-A325-4D22-BC1F-61EAC2BE42D9}"/>
            </c:ext>
          </c:extLst>
        </c:ser>
        <c:ser>
          <c:idx val="3"/>
          <c:order val="1"/>
          <c:tx>
            <c:strRef>
              <c:f>'Initiation charts'!$C$76</c:f>
              <c:strCache>
                <c:ptCount val="1"/>
                <c:pt idx="0">
                  <c:v>Gross Revenue - Kyivstar, US$ m</c:v>
                </c:pt>
              </c:strCache>
            </c:strRef>
          </c:tx>
          <c:spPr>
            <a:solidFill>
              <a:srgbClr val="799098"/>
            </a:solidFill>
            <a:ln>
              <a:noFill/>
              <a:prstDash val="dash"/>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charts'!$E$76:$Q$76</c:f>
              <c:numCache>
                <c:formatCode>0</c:formatCode>
                <c:ptCount val="13"/>
                <c:pt idx="0">
                  <c:v>10.86270127977077</c:v>
                </c:pt>
                <c:pt idx="1">
                  <c:v>19.506349601593627</c:v>
                </c:pt>
                <c:pt idx="2">
                  <c:v>29.280804056501275</c:v>
                </c:pt>
                <c:pt idx="3">
                  <c:v>37.797568533140172</c:v>
                </c:pt>
                <c:pt idx="4">
                  <c:v>47.326875525609545</c:v>
                </c:pt>
                <c:pt idx="5">
                  <c:v>57.737108467406813</c:v>
                </c:pt>
                <c:pt idx="6">
                  <c:v>68.868132406245167</c:v>
                </c:pt>
                <c:pt idx="7">
                  <c:v>80.54108333118846</c:v>
                </c:pt>
                <c:pt idx="8">
                  <c:v>92.568070464740757</c:v>
                </c:pt>
                <c:pt idx="9">
                  <c:v>104.76104930334992</c:v>
                </c:pt>
                <c:pt idx="10">
                  <c:v>116.93936487430069</c:v>
                </c:pt>
                <c:pt idx="11">
                  <c:v>128.93569780443866</c:v>
                </c:pt>
                <c:pt idx="12">
                  <c:v>140.60034400647103</c:v>
                </c:pt>
              </c:numCache>
            </c:numRef>
          </c:val>
          <c:extLst>
            <c:ext xmlns:c16="http://schemas.microsoft.com/office/drawing/2014/chart" uri="{C3380CC4-5D6E-409C-BE32-E72D297353CC}">
              <c16:uniqueId val="{00000000-9AA0-4362-90B0-164DDB433429}"/>
            </c:ext>
          </c:extLst>
        </c:ser>
        <c:dLbls>
          <c:showLegendKey val="0"/>
          <c:showVal val="0"/>
          <c:showCatName val="0"/>
          <c:showSerName val="0"/>
          <c:showPercent val="0"/>
          <c:showBubbleSize val="0"/>
        </c:dLbls>
        <c:gapWidth val="150"/>
        <c:axId val="1495160607"/>
        <c:axId val="1495161855"/>
      </c:barChart>
      <c:lineChart>
        <c:grouping val="standard"/>
        <c:varyColors val="0"/>
        <c:ser>
          <c:idx val="2"/>
          <c:order val="2"/>
          <c:tx>
            <c:strRef>
              <c:f>'Initiation charts'!$C$77</c:f>
              <c:strCache>
                <c:ptCount val="1"/>
                <c:pt idx="0">
                  <c:v>USD growth</c:v>
                </c:pt>
              </c:strCache>
            </c:strRef>
          </c:tx>
          <c:spPr>
            <a:ln w="28575" cap="rnd">
              <a:solidFill>
                <a:schemeClr val="accent3"/>
              </a:solidFill>
              <a:prstDash val="dash"/>
              <a:round/>
            </a:ln>
            <a:effectLst/>
          </c:spPr>
          <c:marker>
            <c:symbol val="none"/>
          </c:marker>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charts'!$E$77:$Q$77</c:f>
              <c:numCache>
                <c:formatCode>0.0%</c:formatCode>
                <c:ptCount val="13"/>
                <c:pt idx="1">
                  <c:v>0.79571812749004023</c:v>
                </c:pt>
                <c:pt idx="2">
                  <c:v>0.50109090909090925</c:v>
                </c:pt>
                <c:pt idx="3">
                  <c:v>0.29086511627906941</c:v>
                </c:pt>
                <c:pt idx="4">
                  <c:v>0.25211428571428529</c:v>
                </c:pt>
                <c:pt idx="5">
                  <c:v>0.21996450909090903</c:v>
                </c:pt>
                <c:pt idx="6">
                  <c:v>0.19278803934426247</c:v>
                </c:pt>
                <c:pt idx="7">
                  <c:v>0.16949713194029825</c:v>
                </c:pt>
                <c:pt idx="8">
                  <c:v>0.14932735736986302</c:v>
                </c:pt>
                <c:pt idx="9">
                  <c:v>0.13171905579746834</c:v>
                </c:pt>
                <c:pt idx="10">
                  <c:v>0.11624850697788269</c:v>
                </c:pt>
                <c:pt idx="11">
                  <c:v>0.10258592513336251</c:v>
                </c:pt>
                <c:pt idx="12">
                  <c:v>9.046870960224318E-2</c:v>
                </c:pt>
              </c:numCache>
            </c:numRef>
          </c:val>
          <c:smooth val="0"/>
          <c:extLst xmlns:c15="http://schemas.microsoft.com/office/drawing/2012/chart">
            <c:ext xmlns:c16="http://schemas.microsoft.com/office/drawing/2014/chart" uri="{C3380CC4-5D6E-409C-BE32-E72D297353CC}">
              <c16:uniqueId val="{00000002-A325-4D22-BC1F-61EAC2BE42D9}"/>
            </c:ext>
          </c:extLst>
        </c:ser>
        <c:ser>
          <c:idx val="1"/>
          <c:order val="3"/>
          <c:tx>
            <c:strRef>
              <c:f>'Initiation charts'!$C$78</c:f>
              <c:strCache>
                <c:ptCount val="1"/>
                <c:pt idx="0">
                  <c:v>LLC growth</c:v>
                </c:pt>
              </c:strCache>
            </c:strRef>
          </c:tx>
          <c:spPr>
            <a:ln w="28575" cap="rnd">
              <a:solidFill>
                <a:srgbClr val="799098"/>
              </a:solidFill>
              <a:prstDash val="dash"/>
              <a:round/>
            </a:ln>
            <a:effectLst/>
          </c:spPr>
          <c:marker>
            <c:symbol val="none"/>
          </c:marker>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charts'!$E$78:$Q$78</c:f>
              <c:numCache>
                <c:formatCode>0.0%</c:formatCode>
                <c:ptCount val="13"/>
                <c:pt idx="1">
                  <c:v>0.9720000000000002</c:v>
                </c:pt>
                <c:pt idx="2">
                  <c:v>0.56363636363636371</c:v>
                </c:pt>
                <c:pt idx="3">
                  <c:v>0.34465116279069741</c:v>
                </c:pt>
                <c:pt idx="4">
                  <c:v>0.30428571428571405</c:v>
                </c:pt>
                <c:pt idx="5">
                  <c:v>0.2707963636363635</c:v>
                </c:pt>
                <c:pt idx="6">
                  <c:v>0.2424875409836067</c:v>
                </c:pt>
                <c:pt idx="7">
                  <c:v>0.2182261791044775</c:v>
                </c:pt>
                <c:pt idx="8">
                  <c:v>0.19721599726027383</c:v>
                </c:pt>
                <c:pt idx="9">
                  <c:v>0.17887401645569612</c:v>
                </c:pt>
                <c:pt idx="10">
                  <c:v>0.16275886143529439</c:v>
                </c:pt>
                <c:pt idx="11">
                  <c:v>0.14852700534725249</c:v>
                </c:pt>
                <c:pt idx="12">
                  <c:v>0.13590490583567028</c:v>
                </c:pt>
              </c:numCache>
            </c:numRef>
          </c:val>
          <c:smooth val="0"/>
          <c:extLst>
            <c:ext xmlns:c16="http://schemas.microsoft.com/office/drawing/2014/chart" uri="{C3380CC4-5D6E-409C-BE32-E72D297353CC}">
              <c16:uniqueId val="{00000000-4AFD-4FEB-AF84-2B1DD66AD168}"/>
            </c:ext>
          </c:extLst>
        </c:ser>
        <c:dLbls>
          <c:showLegendKey val="0"/>
          <c:showVal val="0"/>
          <c:showCatName val="0"/>
          <c:showSerName val="0"/>
          <c:showPercent val="0"/>
          <c:showBubbleSize val="0"/>
        </c:dLbls>
        <c:marker val="1"/>
        <c:smooth val="0"/>
        <c:axId val="261495200"/>
        <c:axId val="261494720"/>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crossAx val="1495160607"/>
        <c:crosses val="autoZero"/>
        <c:crossBetween val="between"/>
      </c:valAx>
      <c:valAx>
        <c:axId val="261494720"/>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crossAx val="261495200"/>
        <c:crosses val="max"/>
        <c:crossBetween val="between"/>
      </c:valAx>
      <c:catAx>
        <c:axId val="261495200"/>
        <c:scaling>
          <c:orientation val="minMax"/>
        </c:scaling>
        <c:delete val="1"/>
        <c:axPos val="t"/>
        <c:numFmt formatCode="General" sourceLinked="1"/>
        <c:majorTickMark val="out"/>
        <c:minorTickMark val="none"/>
        <c:tickLblPos val="nextTo"/>
        <c:crossAx val="261494720"/>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extLst/>
  </c:chart>
  <c:spPr>
    <a:noFill/>
    <a:ln w="9525" cap="flat" cmpd="sng" algn="ctr">
      <a:noFill/>
      <a:round/>
    </a:ln>
    <a:effec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rgbClr val="263238"/>
              </a:solidFill>
              <a:ln>
                <a:noFill/>
              </a:ln>
              <a:effectLst/>
            </c:spPr>
            <c:extLst>
              <c:ext xmlns:c16="http://schemas.microsoft.com/office/drawing/2014/chart" uri="{C3380CC4-5D6E-409C-BE32-E72D297353CC}">
                <c16:uniqueId val="{00000001-6722-4C42-89B0-C96EAFF36FDB}"/>
              </c:ext>
            </c:extLst>
          </c:dPt>
          <c:dPt>
            <c:idx val="1"/>
            <c:bubble3D val="0"/>
            <c:spPr>
              <a:solidFill>
                <a:srgbClr val="799098"/>
              </a:solidFill>
              <a:ln>
                <a:noFill/>
              </a:ln>
              <a:effectLst/>
            </c:spPr>
            <c:extLst>
              <c:ext xmlns:c16="http://schemas.microsoft.com/office/drawing/2014/chart" uri="{C3380CC4-5D6E-409C-BE32-E72D297353CC}">
                <c16:uniqueId val="{00000003-6722-4C42-89B0-C96EAFF36FDB}"/>
              </c:ext>
            </c:extLst>
          </c:dPt>
          <c:dPt>
            <c:idx val="2"/>
            <c:bubble3D val="0"/>
            <c:spPr>
              <a:solidFill>
                <a:srgbClr val="F9663E"/>
              </a:solidFill>
              <a:ln>
                <a:noFill/>
              </a:ln>
              <a:effectLst/>
            </c:spPr>
            <c:extLst>
              <c:ext xmlns:c16="http://schemas.microsoft.com/office/drawing/2014/chart" uri="{C3380CC4-5D6E-409C-BE32-E72D297353CC}">
                <c16:uniqueId val="{00000005-6722-4C42-89B0-C96EAFF36FDB}"/>
              </c:ext>
            </c:extLst>
          </c:dPt>
          <c:dPt>
            <c:idx val="3"/>
            <c:bubble3D val="0"/>
            <c:spPr>
              <a:solidFill>
                <a:srgbClr val="C7FE02"/>
              </a:solidFill>
              <a:ln>
                <a:noFill/>
              </a:ln>
              <a:effectLst/>
            </c:spPr>
            <c:extLst>
              <c:ext xmlns:c16="http://schemas.microsoft.com/office/drawing/2014/chart" uri="{C3380CC4-5D6E-409C-BE32-E72D297353CC}">
                <c16:uniqueId val="{00000007-6722-4C42-89B0-C96EAFF36FDB}"/>
              </c:ext>
            </c:extLst>
          </c:dPt>
          <c:dPt>
            <c:idx val="4"/>
            <c:bubble3D val="0"/>
            <c:spPr>
              <a:solidFill>
                <a:srgbClr val="00CA94"/>
              </a:solidFill>
              <a:ln>
                <a:noFill/>
              </a:ln>
              <a:effectLst/>
            </c:spPr>
            <c:extLst>
              <c:ext xmlns:c16="http://schemas.microsoft.com/office/drawing/2014/chart" uri="{C3380CC4-5D6E-409C-BE32-E72D297353CC}">
                <c16:uniqueId val="{00000009-6722-4C42-89B0-C96EAFF36FDB}"/>
              </c:ext>
            </c:extLst>
          </c:dPt>
          <c:dPt>
            <c:idx val="5"/>
            <c:bubble3D val="0"/>
            <c:spPr>
              <a:solidFill>
                <a:srgbClr val="465A63"/>
              </a:solidFill>
              <a:ln>
                <a:noFill/>
              </a:ln>
              <a:effectLst/>
            </c:spPr>
            <c:extLst>
              <c:ext xmlns:c16="http://schemas.microsoft.com/office/drawing/2014/chart" uri="{C3380CC4-5D6E-409C-BE32-E72D297353CC}">
                <c16:uniqueId val="{0000000B-6722-4C42-89B0-C96EAFF36FDB}"/>
              </c:ext>
            </c:extLst>
          </c:dPt>
          <c:dPt>
            <c:idx val="6"/>
            <c:bubble3D val="0"/>
            <c:spPr>
              <a:solidFill>
                <a:srgbClr val="B0BEC5"/>
              </a:solidFill>
              <a:ln>
                <a:noFill/>
              </a:ln>
              <a:effectLst/>
            </c:spPr>
            <c:extLst>
              <c:ext xmlns:c16="http://schemas.microsoft.com/office/drawing/2014/chart" uri="{C3380CC4-5D6E-409C-BE32-E72D297353CC}">
                <c16:uniqueId val="{0000000D-6722-4C42-89B0-C96EAFF36FDB}"/>
              </c:ext>
            </c:extLst>
          </c:dPt>
          <c:dPt>
            <c:idx val="7"/>
            <c:bubble3D val="0"/>
            <c:spPr>
              <a:solidFill>
                <a:srgbClr val="F19375"/>
              </a:solidFill>
              <a:ln>
                <a:noFill/>
              </a:ln>
              <a:effectLst/>
            </c:spPr>
            <c:extLst>
              <c:ext xmlns:c16="http://schemas.microsoft.com/office/drawing/2014/chart" uri="{C3380CC4-5D6E-409C-BE32-E72D297353CC}">
                <c16:uniqueId val="{0000000F-6722-4C42-89B0-C96EAFF36FDB}"/>
              </c:ext>
            </c:extLst>
          </c:dPt>
          <c:dPt>
            <c:idx val="8"/>
            <c:bubble3D val="0"/>
            <c:spPr>
              <a:solidFill>
                <a:srgbClr val="E3F982"/>
              </a:solidFill>
              <a:ln>
                <a:noFill/>
              </a:ln>
              <a:effectLst/>
            </c:spPr>
            <c:extLst>
              <c:ext xmlns:c16="http://schemas.microsoft.com/office/drawing/2014/chart" uri="{C3380CC4-5D6E-409C-BE32-E72D297353CC}">
                <c16:uniqueId val="{00000011-6722-4C42-89B0-C96EAFF36FDB}"/>
              </c:ext>
            </c:extLst>
          </c:dPt>
          <c:dPt>
            <c:idx val="9"/>
            <c:bubble3D val="0"/>
            <c:spPr>
              <a:solidFill>
                <a:srgbClr val="80D4C1"/>
              </a:solidFill>
              <a:ln>
                <a:noFill/>
              </a:ln>
              <a:effectLst/>
            </c:spPr>
            <c:extLst>
              <c:ext xmlns:c16="http://schemas.microsoft.com/office/drawing/2014/chart" uri="{C3380CC4-5D6E-409C-BE32-E72D297353CC}">
                <c16:uniqueId val="{00000013-6722-4C42-89B0-C96EAFF36FDB}"/>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1"/>
              <c:showBubbleSize val="0"/>
              <c:extLst>
                <c:ext xmlns:c16="http://schemas.microsoft.com/office/drawing/2014/chart" uri="{C3380CC4-5D6E-409C-BE32-E72D297353CC}">
                  <c16:uniqueId val="{00000001-6722-4C42-89B0-C96EAFF36FDB}"/>
                </c:ext>
              </c:extLst>
            </c:dLbl>
            <c:dLbl>
              <c:idx val="1"/>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1"/>
              <c:showBubbleSize val="0"/>
              <c:extLst>
                <c:ext xmlns:c16="http://schemas.microsoft.com/office/drawing/2014/chart" uri="{C3380CC4-5D6E-409C-BE32-E72D297353CC}">
                  <c16:uniqueId val="{00000003-6722-4C42-89B0-C96EAFF36FDB}"/>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1"/>
              <c:showBubbleSize val="0"/>
              <c:extLst>
                <c:ext xmlns:c16="http://schemas.microsoft.com/office/drawing/2014/chart" uri="{C3380CC4-5D6E-409C-BE32-E72D297353CC}">
                  <c16:uniqueId val="{0000000B-6722-4C42-89B0-C96EAFF36FDB}"/>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1"/>
              <c:showBubbleSize val="0"/>
              <c:extLst>
                <c:ext xmlns:c16="http://schemas.microsoft.com/office/drawing/2014/chart" uri="{C3380CC4-5D6E-409C-BE32-E72D297353CC}">
                  <c16:uniqueId val="{0000000D-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'Initiation charts'!$C$39:$C$40</c:f>
              <c:strCache>
                <c:ptCount val="2"/>
                <c:pt idx="0">
                  <c:v>Rest of population</c:v>
                </c:pt>
                <c:pt idx="1">
                  <c:v>Population in occupied areas</c:v>
                </c:pt>
              </c:strCache>
            </c:strRef>
          </c:cat>
          <c:val>
            <c:numRef>
              <c:f>'Initiation charts'!$D$39:$D$40</c:f>
              <c:numCache>
                <c:formatCode>##.0"m"</c:formatCode>
                <c:ptCount val="2"/>
                <c:pt idx="0">
                  <c:v>34.360221000000003</c:v>
                </c:pt>
                <c:pt idx="1">
                  <c:v>3.5</c:v>
                </c:pt>
              </c:numCache>
            </c:numRef>
          </c:val>
          <c:extLst>
            <c:ext xmlns:c16="http://schemas.microsoft.com/office/drawing/2014/chart" uri="{C3380CC4-5D6E-409C-BE32-E72D297353CC}">
              <c16:uniqueId val="{00000014-6722-4C42-89B0-C96EAFF36FDB}"/>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charts'!$C$55</c:f>
              <c:strCache>
                <c:ptCount val="1"/>
                <c:pt idx="0">
                  <c:v>Fixed ARPU, USD - Net basis</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charts'!$E$44:$S$44</c:f>
              <c:numCache>
                <c:formatCode>General</c:formatCode>
                <c:ptCount val="15"/>
                <c:pt idx="0">
                  <c:v>2021</c:v>
                </c:pt>
                <c:pt idx="1">
                  <c:v>2022</c:v>
                </c:pt>
                <c:pt idx="2">
                  <c:v>2023</c:v>
                </c:pt>
                <c:pt idx="3">
                  <c:v>2024</c:v>
                </c:pt>
                <c:pt idx="4" formatCode="####&quot;E&quot;">
                  <c:v>2025</c:v>
                </c:pt>
                <c:pt idx="5" formatCode="####&quot;E&quot;">
                  <c:v>2026</c:v>
                </c:pt>
                <c:pt idx="6" formatCode="####&quot;E&quot;">
                  <c:v>2027</c:v>
                </c:pt>
                <c:pt idx="7" formatCode="####&quot;E&quot;">
                  <c:v>2028</c:v>
                </c:pt>
                <c:pt idx="8" formatCode="####&quot;E&quot;">
                  <c:v>2029</c:v>
                </c:pt>
                <c:pt idx="9" formatCode="####&quot;E&quot;">
                  <c:v>2030</c:v>
                </c:pt>
                <c:pt idx="10" formatCode="####&quot;E&quot;">
                  <c:v>2031</c:v>
                </c:pt>
                <c:pt idx="11" formatCode="####&quot;E&quot;">
                  <c:v>2032</c:v>
                </c:pt>
                <c:pt idx="12" formatCode="####&quot;E&quot;">
                  <c:v>2033</c:v>
                </c:pt>
                <c:pt idx="13" formatCode="####&quot;E&quot;">
                  <c:v>2034</c:v>
                </c:pt>
                <c:pt idx="14" formatCode="####&quot;E&quot;">
                  <c:v>2035</c:v>
                </c:pt>
              </c:numCache>
            </c:numRef>
          </c:cat>
          <c:val>
            <c:numRef>
              <c:f>'Initiation charts'!$E$55:$S$55</c:f>
              <c:numCache>
                <c:formatCode>_(* #,##0.0_);_(* \(#,##0.0\);_(* "-"_);_(@_)</c:formatCode>
                <c:ptCount val="15"/>
                <c:pt idx="0">
                  <c:v>4.8842599943464302</c:v>
                </c:pt>
                <c:pt idx="1">
                  <c:v>4.0094810060374302</c:v>
                </c:pt>
                <c:pt idx="2">
                  <c:v>3.5022276752868833</c:v>
                </c:pt>
                <c:pt idx="3">
                  <c:v>3.5460743198467255</c:v>
                </c:pt>
                <c:pt idx="4">
                  <c:v>3.6425275413465568</c:v>
                </c:pt>
                <c:pt idx="5">
                  <c:v>3.7416042904711833</c:v>
                </c:pt>
                <c:pt idx="6">
                  <c:v>3.8433759271719992</c:v>
                </c:pt>
                <c:pt idx="7">
                  <c:v>3.9479157523910779</c:v>
                </c:pt>
                <c:pt idx="8">
                  <c:v>4.0552990608561146</c:v>
                </c:pt>
                <c:pt idx="9">
                  <c:v>4.1656031953114017</c:v>
                </c:pt>
                <c:pt idx="10">
                  <c:v>4.2789076022238719</c:v>
                </c:pt>
                <c:pt idx="11">
                  <c:v>4.3952938890043614</c:v>
                </c:pt>
                <c:pt idx="12">
                  <c:v>4.5148458827852798</c:v>
                </c:pt>
                <c:pt idx="13">
                  <c:v>4.6376496907970397</c:v>
                </c:pt>
                <c:pt idx="14">
                  <c:v>4.7637937623867197</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_(* #,##0.0_);_(* \(#,##0.0\);_(* &quot;-&quot;_);_(@_)"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4656152196380923E-2"/>
          <c:y val="6.0585888662145412E-2"/>
          <c:w val="0.87410806797533036"/>
          <c:h val="0.65634700485164166"/>
        </c:manualLayout>
      </c:layout>
      <c:barChart>
        <c:barDir val="col"/>
        <c:grouping val="clustered"/>
        <c:varyColors val="0"/>
        <c:ser>
          <c:idx val="0"/>
          <c:order val="0"/>
          <c:tx>
            <c:strRef>
              <c:f>'Initiation charts'!$C$57</c:f>
              <c:strCache>
                <c:ptCount val="1"/>
                <c:pt idx="0">
                  <c:v>Fixed service revenue, US$ m</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charts'!$G$44:$S$44</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charts'!$G$57:$S$57</c:f>
              <c:numCache>
                <c:formatCode>_(* #,##0_);_(* \(#,##0\);_(* "-"_);_(@_)</c:formatCode>
                <c:ptCount val="13"/>
                <c:pt idx="0">
                  <c:v>52</c:v>
                </c:pt>
                <c:pt idx="1">
                  <c:v>50</c:v>
                </c:pt>
                <c:pt idx="2">
                  <c:v>52.690750011268349</c:v>
                </c:pt>
                <c:pt idx="3">
                  <c:v>58.158284257130795</c:v>
                </c:pt>
                <c:pt idx="4">
                  <c:v>63.990321771877724</c:v>
                </c:pt>
                <c:pt idx="5">
                  <c:v>70.201788545297006</c:v>
                </c:pt>
                <c:pt idx="6">
                  <c:v>76.80811519130549</c:v>
                </c:pt>
                <c:pt idx="7">
                  <c:v>83.825251592787737</c:v>
                </c:pt>
                <c:pt idx="8">
                  <c:v>91.2696819550291</c:v>
                </c:pt>
                <c:pt idx="9">
                  <c:v>99.158440277911765</c:v>
                </c:pt>
                <c:pt idx="10">
                  <c:v>106.80549617412106</c:v>
                </c:pt>
                <c:pt idx="11">
                  <c:v>114.15077328595706</c:v>
                </c:pt>
                <c:pt idx="12">
                  <c:v>121.87248753719032</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charts'!$C$59</c:f>
              <c:strCache>
                <c:ptCount val="1"/>
                <c:pt idx="0">
                  <c:v>LLC growth</c:v>
                </c:pt>
              </c:strCache>
            </c:strRef>
          </c:tx>
          <c:spPr>
            <a:ln w="28575" cap="rnd">
              <a:solidFill>
                <a:srgbClr val="799098"/>
              </a:solidFill>
              <a:prstDash val="dash"/>
              <a:round/>
            </a:ln>
            <a:effectLst/>
          </c:spPr>
          <c:marker>
            <c:symbol val="none"/>
          </c:marker>
          <c:cat>
            <c:numRef>
              <c:f>'Initiation charts'!$G$44:$S$44</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charts'!$G$59:$S$59</c:f>
              <c:numCache>
                <c:formatCode>0.0%</c:formatCode>
                <c:ptCount val="13"/>
                <c:pt idx="1">
                  <c:v>0.13200128428690294</c:v>
                </c:pt>
                <c:pt idx="2">
                  <c:v>9.7723958568090685E-2</c:v>
                </c:pt>
                <c:pt idx="3">
                  <c:v>0.14975676163694862</c:v>
                </c:pt>
                <c:pt idx="4">
                  <c:v>0.14612365255370352</c:v>
                </c:pt>
                <c:pt idx="5">
                  <c:v>0.1427800492816913</c:v>
                </c:pt>
                <c:pt idx="6">
                  <c:v>0.13969252040711044</c:v>
                </c:pt>
                <c:pt idx="7">
                  <c:v>0.13683261451829121</c:v>
                </c:pt>
                <c:pt idx="8">
                  <c:v>0.13417596205582938</c:v>
                </c:pt>
                <c:pt idx="9">
                  <c:v>0.13170156555439427</c:v>
                </c:pt>
                <c:pt idx="10">
                  <c:v>0.12199954809251956</c:v>
                </c:pt>
                <c:pt idx="11">
                  <c:v>0.11330464971910703</c:v>
                </c:pt>
                <c:pt idx="12">
                  <c:v>0.11213007320781321</c:v>
                </c:pt>
              </c:numCache>
            </c:numRef>
          </c:val>
          <c:smooth val="0"/>
          <c:extLst>
            <c:ext xmlns:c16="http://schemas.microsoft.com/office/drawing/2014/chart" uri="{C3380CC4-5D6E-409C-BE32-E72D297353CC}">
              <c16:uniqueId val="{00000002-3847-4986-8373-DD0E19E8F0E7}"/>
            </c:ext>
          </c:extLst>
        </c:ser>
        <c:ser>
          <c:idx val="2"/>
          <c:order val="2"/>
          <c:tx>
            <c:strRef>
              <c:f>'Initiation charts'!$C$58</c:f>
              <c:strCache>
                <c:ptCount val="1"/>
                <c:pt idx="0">
                  <c:v>USD growth</c:v>
                </c:pt>
              </c:strCache>
            </c:strRef>
          </c:tx>
          <c:spPr>
            <a:ln w="28575" cap="rnd">
              <a:solidFill>
                <a:srgbClr val="F9663E"/>
              </a:solidFill>
              <a:prstDash val="dash"/>
              <a:round/>
            </a:ln>
            <a:effectLst/>
          </c:spPr>
          <c:marker>
            <c:symbol val="none"/>
          </c:marker>
          <c:val>
            <c:numRef>
              <c:f>'Initiation charts'!$G$58:$S$58</c:f>
              <c:numCache>
                <c:formatCode>0.0%</c:formatCode>
                <c:ptCount val="13"/>
                <c:pt idx="1">
                  <c:v>-3.8461538461538436E-2</c:v>
                </c:pt>
                <c:pt idx="2">
                  <c:v>5.3815000225367005E-2</c:v>
                </c:pt>
                <c:pt idx="3">
                  <c:v>0.10376649117147063</c:v>
                </c:pt>
                <c:pt idx="4">
                  <c:v>0.10027870645155534</c:v>
                </c:pt>
                <c:pt idx="5">
                  <c:v>9.7068847310423756E-2</c:v>
                </c:pt>
                <c:pt idx="6">
                  <c:v>9.4104819590825839E-2</c:v>
                </c:pt>
                <c:pt idx="7">
                  <c:v>9.1359309937559363E-2</c:v>
                </c:pt>
                <c:pt idx="8">
                  <c:v>8.8808923573596266E-2</c:v>
                </c:pt>
                <c:pt idx="9">
                  <c:v>8.643350293221852E-2</c:v>
                </c:pt>
                <c:pt idx="10">
                  <c:v>7.7119566168818876E-2</c:v>
                </c:pt>
                <c:pt idx="11">
                  <c:v>6.8772463730342626E-2</c:v>
                </c:pt>
                <c:pt idx="12">
                  <c:v>6.7644870279500724E-2</c:v>
                </c:pt>
              </c:numCache>
            </c:numRef>
          </c:val>
          <c:smooth val="0"/>
          <c:extLst>
            <c:ext xmlns:c16="http://schemas.microsoft.com/office/drawing/2014/chart" uri="{C3380CC4-5D6E-409C-BE32-E72D297353CC}">
              <c16:uniqueId val="{00000000-549E-460E-9A24-A687B77CED26}"/>
            </c:ext>
          </c:extLst>
        </c:ser>
        <c:dLbls>
          <c:showLegendKey val="0"/>
          <c:showVal val="0"/>
          <c:showCatName val="0"/>
          <c:showSerName val="0"/>
          <c:showPercent val="0"/>
          <c:showBubbleSize val="0"/>
        </c:dLbls>
        <c:marker val="1"/>
        <c:smooth val="0"/>
        <c:axId val="1387228319"/>
        <c:axId val="1387230239"/>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387230239"/>
        <c:scaling>
          <c:orientation val="minMax"/>
          <c:max val="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7228319"/>
        <c:crosses val="max"/>
        <c:crossBetween val="between"/>
      </c:valAx>
      <c:catAx>
        <c:axId val="1387228319"/>
        <c:scaling>
          <c:orientation val="minMax"/>
        </c:scaling>
        <c:delete val="1"/>
        <c:axPos val="t"/>
        <c:numFmt formatCode="General" sourceLinked="1"/>
        <c:majorTickMark val="out"/>
        <c:minorTickMark val="none"/>
        <c:tickLblPos val="nextTo"/>
        <c:crossAx val="1387230239"/>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charts'!$C$144</c:f>
              <c:strCache>
                <c:ptCount val="1"/>
                <c:pt idx="0">
                  <c:v>Core telco revenue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charts'!$D$143:$P$143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charts'!$D$144:$P$144</c:f>
              <c:numCache>
                <c:formatCode>#,##0;\(#,##0\);"--"_)</c:formatCode>
                <c:ptCount val="13"/>
                <c:pt idx="0">
                  <c:v>900.17145200984419</c:v>
                </c:pt>
                <c:pt idx="1">
                  <c:v>893.08764940239041</c:v>
                </c:pt>
                <c:pt idx="2">
                  <c:v>916.42855065346339</c:v>
                </c:pt>
                <c:pt idx="3">
                  <c:v>952.88601036132206</c:v>
                </c:pt>
                <c:pt idx="4">
                  <c:v>999.88707579763411</c:v>
                </c:pt>
                <c:pt idx="5">
                  <c:v>1044.2156132668035</c:v>
                </c:pt>
                <c:pt idx="6">
                  <c:v>1074.644902104945</c:v>
                </c:pt>
                <c:pt idx="7">
                  <c:v>1113.3866532745405</c:v>
                </c:pt>
                <c:pt idx="8">
                  <c:v>1156.9941686709167</c:v>
                </c:pt>
                <c:pt idx="9">
                  <c:v>1205.1654511171964</c:v>
                </c:pt>
                <c:pt idx="10">
                  <c:v>1255.1370143789102</c:v>
                </c:pt>
                <c:pt idx="11">
                  <c:v>1306.8904510081438</c:v>
                </c:pt>
                <c:pt idx="12">
                  <c:v>1361.1247876667258</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lineChart>
        <c:grouping val="standard"/>
        <c:varyColors val="0"/>
        <c:ser>
          <c:idx val="2"/>
          <c:order val="1"/>
          <c:tx>
            <c:strRef>
              <c:f>'Initiation charts'!$C$148</c:f>
              <c:strCache>
                <c:ptCount val="1"/>
                <c:pt idx="0">
                  <c:v>Core telco revenue - USD growth</c:v>
                </c:pt>
              </c:strCache>
            </c:strRef>
          </c:tx>
          <c:spPr>
            <a:ln w="28575" cap="rnd">
              <a:solidFill>
                <a:schemeClr val="accent3"/>
              </a:solidFill>
              <a:prstDash val="dash"/>
              <a:round/>
            </a:ln>
            <a:effectLst/>
          </c:spPr>
          <c:marker>
            <c:symbol val="none"/>
          </c:marker>
          <c:cat>
            <c:numRef>
              <c:f>'Initiation charts'!$D$143:$P$143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charts'!$D$148:$P$148</c:f>
              <c:numCache>
                <c:formatCode>0.0%</c:formatCode>
                <c:ptCount val="13"/>
                <c:pt idx="1">
                  <c:v>-7.8693926491865129E-3</c:v>
                </c:pt>
                <c:pt idx="2">
                  <c:v>2.6135062181961155E-2</c:v>
                </c:pt>
                <c:pt idx="3">
                  <c:v>3.9782108143469053E-2</c:v>
                </c:pt>
                <c:pt idx="4">
                  <c:v>4.932496114460716E-2</c:v>
                </c:pt>
                <c:pt idx="5">
                  <c:v>4.4333543799240926E-2</c:v>
                </c:pt>
                <c:pt idx="6">
                  <c:v>2.9140810050660049E-2</c:v>
                </c:pt>
                <c:pt idx="7">
                  <c:v>3.6050746710574622E-2</c:v>
                </c:pt>
                <c:pt idx="8">
                  <c:v>3.9166551231886615E-2</c:v>
                </c:pt>
                <c:pt idx="9">
                  <c:v>4.1634853269499228E-2</c:v>
                </c:pt>
                <c:pt idx="10">
                  <c:v>4.1464483748177239E-2</c:v>
                </c:pt>
                <c:pt idx="11">
                  <c:v>4.1233296473885961E-2</c:v>
                </c:pt>
                <c:pt idx="12">
                  <c:v>4.1498762667326217E-2</c:v>
                </c:pt>
              </c:numCache>
            </c:numRef>
          </c:val>
          <c:smooth val="0"/>
          <c:extLst xmlns:c15="http://schemas.microsoft.com/office/drawing/2012/chart">
            <c:ext xmlns:c16="http://schemas.microsoft.com/office/drawing/2014/chart" uri="{C3380CC4-5D6E-409C-BE32-E72D297353CC}">
              <c16:uniqueId val="{00000002-A325-4D22-BC1F-61EAC2BE42D9}"/>
            </c:ext>
          </c:extLst>
        </c:ser>
        <c:ser>
          <c:idx val="1"/>
          <c:order val="2"/>
          <c:tx>
            <c:strRef>
              <c:f>'Initiation charts'!$C$149</c:f>
              <c:strCache>
                <c:ptCount val="1"/>
                <c:pt idx="0">
                  <c:v>Core telco revenue - LLC growth</c:v>
                </c:pt>
              </c:strCache>
            </c:strRef>
          </c:tx>
          <c:spPr>
            <a:ln w="28575" cap="rnd">
              <a:solidFill>
                <a:srgbClr val="799098"/>
              </a:solidFill>
              <a:prstDash val="dash"/>
              <a:round/>
            </a:ln>
            <a:effectLst/>
          </c:spPr>
          <c:marker>
            <c:symbol val="none"/>
          </c:marker>
          <c:val>
            <c:numRef>
              <c:f>'Initiation charts'!$D$149:$P$149</c:f>
              <c:numCache>
                <c:formatCode>0.0%</c:formatCode>
                <c:ptCount val="13"/>
                <c:pt idx="1">
                  <c:v>8.9525982805815474E-2</c:v>
                </c:pt>
                <c:pt idx="2">
                  <c:v>6.8890689772876046E-2</c:v>
                </c:pt>
                <c:pt idx="3">
                  <c:v>8.3106362649446819E-2</c:v>
                </c:pt>
                <c:pt idx="4">
                  <c:v>9.3046834525632782E-2</c:v>
                </c:pt>
                <c:pt idx="5">
                  <c:v>8.784744145754253E-2</c:v>
                </c:pt>
                <c:pt idx="6">
                  <c:v>7.202167713610419E-2</c:v>
                </c:pt>
                <c:pt idx="7">
                  <c:v>7.9219527823515046E-2</c:v>
                </c:pt>
                <c:pt idx="8">
                  <c:v>8.2465157533215372E-2</c:v>
                </c:pt>
                <c:pt idx="9">
                  <c:v>8.5036305489061714E-2</c:v>
                </c:pt>
                <c:pt idx="10">
                  <c:v>8.4858837237684837E-2</c:v>
                </c:pt>
                <c:pt idx="11">
                  <c:v>8.4618017160297931E-2</c:v>
                </c:pt>
                <c:pt idx="12">
                  <c:v>8.4894544445131004E-2</c:v>
                </c:pt>
              </c:numCache>
            </c:numRef>
          </c:val>
          <c:smooth val="0"/>
          <c:extLst>
            <c:ext xmlns:c16="http://schemas.microsoft.com/office/drawing/2014/chart" uri="{C3380CC4-5D6E-409C-BE32-E72D297353CC}">
              <c16:uniqueId val="{00000000-ADFA-4556-B7D0-EB3190C67FD7}"/>
            </c:ext>
          </c:extLst>
        </c:ser>
        <c:dLbls>
          <c:showLegendKey val="0"/>
          <c:showVal val="0"/>
          <c:showCatName val="0"/>
          <c:showSerName val="0"/>
          <c:showPercent val="0"/>
          <c:showBubbleSize val="0"/>
        </c:dLbls>
        <c:marker val="1"/>
        <c:smooth val="0"/>
        <c:axId val="48404752"/>
        <c:axId val="48414832"/>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48414832"/>
        <c:scaling>
          <c:orientation val="minMax"/>
          <c:max val="0.1"/>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404752"/>
        <c:crosses val="max"/>
        <c:crossBetween val="between"/>
      </c:valAx>
      <c:catAx>
        <c:axId val="48404752"/>
        <c:scaling>
          <c:orientation val="minMax"/>
        </c:scaling>
        <c:delete val="1"/>
        <c:axPos val="b"/>
        <c:numFmt formatCode="General" sourceLinked="1"/>
        <c:majorTickMark val="out"/>
        <c:minorTickMark val="none"/>
        <c:tickLblPos val="nextTo"/>
        <c:crossAx val="4841483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08965958809091E-2"/>
          <c:y val="3.2642229920551838E-2"/>
          <c:w val="0.91897716719121525"/>
          <c:h val="0.76635469338028173"/>
        </c:manualLayout>
      </c:layout>
      <c:barChart>
        <c:barDir val="col"/>
        <c:grouping val="clustered"/>
        <c:varyColors val="0"/>
        <c:ser>
          <c:idx val="0"/>
          <c:order val="0"/>
          <c:tx>
            <c:strRef>
              <c:f>'Initiation charts'!$C$81</c:f>
              <c:strCache>
                <c:ptCount val="1"/>
                <c:pt idx="0">
                  <c:v>Helsi MAU</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charts'!$D$80:$Q$80</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charts'!$D$81:$Q$81</c:f>
              <c:numCache>
                <c:formatCode>0.0</c:formatCode>
                <c:ptCount val="14"/>
                <c:pt idx="0">
                  <c:v>1.5</c:v>
                </c:pt>
                <c:pt idx="1">
                  <c:v>2.5</c:v>
                </c:pt>
                <c:pt idx="2">
                  <c:v>2.4</c:v>
                </c:pt>
                <c:pt idx="3">
                  <c:v>2.8703571428571428</c:v>
                </c:pt>
                <c:pt idx="4">
                  <c:v>3.3557142857142859</c:v>
                </c:pt>
                <c:pt idx="5">
                  <c:v>3.5610714285714287</c:v>
                </c:pt>
                <c:pt idx="6">
                  <c:v>3.7714285714285718</c:v>
                </c:pt>
                <c:pt idx="7">
                  <c:v>3.9867857142857148</c:v>
                </c:pt>
                <c:pt idx="8">
                  <c:v>4.2071428571428573</c:v>
                </c:pt>
                <c:pt idx="9">
                  <c:v>4.432500000000001</c:v>
                </c:pt>
                <c:pt idx="10">
                  <c:v>4.6628571428571437</c:v>
                </c:pt>
                <c:pt idx="11">
                  <c:v>4.8982142857142863</c:v>
                </c:pt>
                <c:pt idx="12">
                  <c:v>5.1385714285714297</c:v>
                </c:pt>
                <c:pt idx="13">
                  <c:v>5.383928571428573</c:v>
                </c:pt>
              </c:numCache>
            </c:numRef>
          </c:val>
          <c:extLst>
            <c:ext xmlns:c16="http://schemas.microsoft.com/office/drawing/2014/chart" uri="{C3380CC4-5D6E-409C-BE32-E72D297353CC}">
              <c16:uniqueId val="{00000000-39A5-4146-BDB8-E65C79FAD203}"/>
            </c:ext>
          </c:extLst>
        </c:ser>
        <c:dLbls>
          <c:dLblPos val="outEnd"/>
          <c:showLegendKey val="0"/>
          <c:showVal val="1"/>
          <c:showCatName val="0"/>
          <c:showSerName val="0"/>
          <c:showPercent val="0"/>
          <c:showBubbleSize val="0"/>
        </c:dLbls>
        <c:gapWidth val="150"/>
        <c:axId val="1495160607"/>
        <c:axId val="1495161855"/>
      </c:barChart>
      <c:lineChart>
        <c:grouping val="standard"/>
        <c:varyColors val="0"/>
        <c:ser>
          <c:idx val="1"/>
          <c:order val="1"/>
          <c:tx>
            <c:strRef>
              <c:f>'Initiation charts'!$C$82</c:f>
              <c:strCache>
                <c:ptCount val="1"/>
                <c:pt idx="0">
                  <c:v>Helsi MAU as % of Pop</c:v>
                </c:pt>
              </c:strCache>
            </c:strRef>
          </c:tx>
          <c:spPr>
            <a:ln w="28575" cap="rnd">
              <a:solidFill>
                <a:srgbClr val="F9663E"/>
              </a:solidFill>
              <a:round/>
            </a:ln>
            <a:effectLst/>
          </c:spPr>
          <c:marker>
            <c:symbol val="none"/>
          </c:marker>
          <c:dLbls>
            <c:spPr>
              <a:solidFill>
                <a:srgbClr val="F19375"/>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charts'!$D$70:$Q$70</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charts'!$D$82:$Q$82</c:f>
              <c:numCache>
                <c:formatCode>0.0%</c:formatCode>
                <c:ptCount val="14"/>
                <c:pt idx="0">
                  <c:v>3.654190238020797E-2</c:v>
                </c:pt>
                <c:pt idx="1">
                  <c:v>6.6255290219902882E-2</c:v>
                </c:pt>
                <c:pt idx="2">
                  <c:v>6.3391072122901765E-2</c:v>
                </c:pt>
                <c:pt idx="3">
                  <c:v>7.6425998261652972E-2</c:v>
                </c:pt>
                <c:pt idx="4">
                  <c:v>9.0069652613027074E-2</c:v>
                </c:pt>
                <c:pt idx="5">
                  <c:v>9.6352397104088217E-2</c:v>
                </c:pt>
                <c:pt idx="6">
                  <c:v>0.10286699507393739</c:v>
                </c:pt>
                <c:pt idx="7">
                  <c:v>0.10961787729968185</c:v>
                </c:pt>
                <c:pt idx="8">
                  <c:v>0.11660953981310775</c:v>
                </c:pt>
                <c:pt idx="9">
                  <c:v>0.12384654473654093</c:v>
                </c:pt>
                <c:pt idx="10">
                  <c:v>0.13133352112852203</c:v>
                </c:pt>
                <c:pt idx="11">
                  <c:v>0.13907516583940518</c:v>
                </c:pt>
                <c:pt idx="12">
                  <c:v>0.1470762443769891</c:v>
                </c:pt>
                <c:pt idx="13">
                  <c:v>0.15534159178229215</c:v>
                </c:pt>
              </c:numCache>
            </c:numRef>
          </c:val>
          <c:smooth val="0"/>
          <c:extLst>
            <c:ext xmlns:c16="http://schemas.microsoft.com/office/drawing/2014/chart" uri="{C3380CC4-5D6E-409C-BE32-E72D297353CC}">
              <c16:uniqueId val="{00000001-39A5-4146-BDB8-E65C79FAD203}"/>
            </c:ext>
          </c:extLst>
        </c:ser>
        <c:dLbls>
          <c:showLegendKey val="0"/>
          <c:showVal val="1"/>
          <c:showCatName val="0"/>
          <c:showSerName val="0"/>
          <c:showPercent val="0"/>
          <c:showBubbleSize val="0"/>
        </c:dLbls>
        <c:marker val="1"/>
        <c:smooth val="0"/>
        <c:axId val="262031232"/>
        <c:axId val="262035072"/>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2035072"/>
        <c:scaling>
          <c:orientation val="minMax"/>
          <c:max val="0.2"/>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031232"/>
        <c:crosses val="max"/>
        <c:crossBetween val="between"/>
      </c:valAx>
      <c:catAx>
        <c:axId val="262031232"/>
        <c:scaling>
          <c:orientation val="minMax"/>
        </c:scaling>
        <c:delete val="1"/>
        <c:axPos val="b"/>
        <c:numFmt formatCode="General" sourceLinked="1"/>
        <c:majorTickMark val="out"/>
        <c:minorTickMark val="none"/>
        <c:tickLblPos val="nextTo"/>
        <c:crossAx val="2620350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7280827842939131E-2"/>
          <c:y val="6.0185185185185182E-2"/>
          <c:w val="0.93217831922995953"/>
          <c:h val="0.65861986001749784"/>
        </c:manualLayout>
      </c:layout>
      <c:lineChart>
        <c:grouping val="standard"/>
        <c:varyColors val="0"/>
        <c:ser>
          <c:idx val="1"/>
          <c:order val="0"/>
          <c:tx>
            <c:strRef>
              <c:f>'Initiation charts'!$C$83</c:f>
              <c:strCache>
                <c:ptCount val="1"/>
                <c:pt idx="0">
                  <c:v>Estimated Helsi ARPU - US$</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charts'!$E$83:$Q$83</c:f>
              <c:numCache>
                <c:formatCode>0.00</c:formatCode>
                <c:ptCount val="13"/>
                <c:pt idx="0">
                  <c:v>0.15101023128453925</c:v>
                </c:pt>
                <c:pt idx="1">
                  <c:v>0.17421809361194679</c:v>
                </c:pt>
                <c:pt idx="2">
                  <c:v>0.18397430685421581</c:v>
                </c:pt>
                <c:pt idx="3">
                  <c:v>0.19427686803805191</c:v>
                </c:pt>
                <c:pt idx="4">
                  <c:v>0.20515637264818279</c:v>
                </c:pt>
                <c:pt idx="5">
                  <c:v>0.21664512951648104</c:v>
                </c:pt>
                <c:pt idx="6">
                  <c:v>0.22877725676940397</c:v>
                </c:pt>
                <c:pt idx="7">
                  <c:v>0.24158878314849061</c:v>
                </c:pt>
                <c:pt idx="8">
                  <c:v>0.2551177550048061</c:v>
                </c:pt>
                <c:pt idx="9">
                  <c:v>0.26940434928507528</c:v>
                </c:pt>
                <c:pt idx="10">
                  <c:v>0.28449099284503948</c:v>
                </c:pt>
                <c:pt idx="11">
                  <c:v>0.30042248844436176</c:v>
                </c:pt>
                <c:pt idx="12">
                  <c:v>0.31724614779724603</c:v>
                </c:pt>
              </c:numCache>
            </c:numRef>
          </c:val>
          <c:smooth val="0"/>
          <c:extLst>
            <c:ext xmlns:c16="http://schemas.microsoft.com/office/drawing/2014/chart" uri="{C3380CC4-5D6E-409C-BE32-E72D297353CC}">
              <c16:uniqueId val="{00000001-96AF-4D4E-A9CA-D5AA75EDF64E}"/>
            </c:ext>
          </c:extLst>
        </c:ser>
        <c:dLbls>
          <c:dLblPos val="t"/>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charts'!$C$84</c:f>
              <c:strCache>
                <c:ptCount val="1"/>
                <c:pt idx="0">
                  <c:v>Revenue - Helsi, US$ m</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charts'!$E$84:$Q$84</c:f>
              <c:numCache>
                <c:formatCode>0.0</c:formatCode>
                <c:ptCount val="13"/>
                <c:pt idx="0">
                  <c:v>3.6242455508289422</c:v>
                </c:pt>
                <c:pt idx="1">
                  <c:v>5.1220119521912348</c:v>
                </c:pt>
                <c:pt idx="2">
                  <c:v>6.3368635893742811</c:v>
                </c:pt>
                <c:pt idx="3">
                  <c:v>7.8232519375094398</c:v>
                </c:pt>
                <c:pt idx="4">
                  <c:v>8.7669179643215589</c:v>
                </c:pt>
                <c:pt idx="5">
                  <c:v>9.8047395758316007</c:v>
                </c:pt>
                <c:pt idx="6">
                  <c:v>10.945030788500818</c:v>
                </c:pt>
                <c:pt idx="7">
                  <c:v>12.196782280668083</c:v>
                </c:pt>
                <c:pt idx="8">
                  <c:v>13.56971338870564</c:v>
                </c:pt>
                <c:pt idx="9">
                  <c:v>15.074327932568329</c:v>
                </c:pt>
                <c:pt idx="10">
                  <c:v>16.721974143727358</c:v>
                </c:pt>
                <c:pt idx="11">
                  <c:v>18.524908987446334</c:v>
                </c:pt>
                <c:pt idx="12">
                  <c:v>20.496367191614937</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lineChart>
        <c:grouping val="standard"/>
        <c:varyColors val="0"/>
        <c:ser>
          <c:idx val="2"/>
          <c:order val="1"/>
          <c:tx>
            <c:strRef>
              <c:f>'Initiation charts'!$C$85</c:f>
              <c:strCache>
                <c:ptCount val="1"/>
                <c:pt idx="0">
                  <c:v>USD growth</c:v>
                </c:pt>
              </c:strCache>
            </c:strRef>
          </c:tx>
          <c:spPr>
            <a:ln w="28575" cap="rnd">
              <a:solidFill>
                <a:schemeClr val="accent3"/>
              </a:solidFill>
              <a:prstDash val="dash"/>
              <a:round/>
            </a:ln>
            <a:effectLst/>
          </c:spPr>
          <c:marker>
            <c:symbol val="none"/>
          </c:marker>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charts'!$E$85:$Q$85</c:f>
              <c:numCache>
                <c:formatCode>0.0%</c:formatCode>
                <c:ptCount val="13"/>
                <c:pt idx="1">
                  <c:v>0.41326294820717147</c:v>
                </c:pt>
                <c:pt idx="2">
                  <c:v>0.23718250728862977</c:v>
                </c:pt>
                <c:pt idx="3">
                  <c:v>0.23456215005599135</c:v>
                </c:pt>
                <c:pt idx="4">
                  <c:v>0.12062324393358836</c:v>
                </c:pt>
                <c:pt idx="5">
                  <c:v>0.11837929996991314</c:v>
                </c:pt>
                <c:pt idx="6">
                  <c:v>0.11630000000000007</c:v>
                </c:pt>
                <c:pt idx="7">
                  <c:v>0.11436710561676944</c:v>
                </c:pt>
                <c:pt idx="8">
                  <c:v>0.11256502546689351</c:v>
                </c:pt>
                <c:pt idx="9">
                  <c:v>0.11088034807831759</c:v>
                </c:pt>
                <c:pt idx="10">
                  <c:v>0.10930147058823514</c:v>
                </c:pt>
                <c:pt idx="11">
                  <c:v>0.1078183011301499</c:v>
                </c:pt>
                <c:pt idx="12">
                  <c:v>0.10642201834862397</c:v>
                </c:pt>
              </c:numCache>
            </c:numRef>
          </c:val>
          <c:smooth val="0"/>
          <c:extLst xmlns:c15="http://schemas.microsoft.com/office/drawing/2012/chart">
            <c:ext xmlns:c16="http://schemas.microsoft.com/office/drawing/2014/chart" uri="{C3380CC4-5D6E-409C-BE32-E72D297353CC}">
              <c16:uniqueId val="{00000002-A325-4D22-BC1F-61EAC2BE42D9}"/>
            </c:ext>
          </c:extLst>
        </c:ser>
        <c:ser>
          <c:idx val="1"/>
          <c:order val="2"/>
          <c:tx>
            <c:strRef>
              <c:f>'Initiation charts'!$C$86</c:f>
              <c:strCache>
                <c:ptCount val="1"/>
                <c:pt idx="0">
                  <c:v>LLC growth</c:v>
                </c:pt>
              </c:strCache>
            </c:strRef>
          </c:tx>
          <c:spPr>
            <a:ln w="28575" cap="rnd">
              <a:solidFill>
                <a:srgbClr val="799098"/>
              </a:solidFill>
              <a:prstDash val="dash"/>
              <a:round/>
            </a:ln>
            <a:effectLst/>
          </c:spPr>
          <c:marker>
            <c:symbol val="none"/>
          </c:marker>
          <c:val>
            <c:numRef>
              <c:f>'Initiation charts'!$E$86:$Q$86</c:f>
              <c:numCache>
                <c:formatCode>0.0%</c:formatCode>
                <c:ptCount val="13"/>
                <c:pt idx="1">
                  <c:v>0.55200000000000005</c:v>
                </c:pt>
                <c:pt idx="2">
                  <c:v>0.288731778425656</c:v>
                </c:pt>
                <c:pt idx="3">
                  <c:v>0.28600223964165772</c:v>
                </c:pt>
                <c:pt idx="4">
                  <c:v>0.16731587909748802</c:v>
                </c:pt>
                <c:pt idx="5">
                  <c:v>0.16497843746865937</c:v>
                </c:pt>
                <c:pt idx="6">
                  <c:v>0.16281250000000025</c:v>
                </c:pt>
                <c:pt idx="7">
                  <c:v>0.1607990683508016</c:v>
                </c:pt>
                <c:pt idx="8">
                  <c:v>0.15892190152801389</c:v>
                </c:pt>
                <c:pt idx="9">
                  <c:v>0.15716702924824744</c:v>
                </c:pt>
                <c:pt idx="10">
                  <c:v>0.15552236519607843</c:v>
                </c:pt>
                <c:pt idx="11">
                  <c:v>0.15397739701057245</c:v>
                </c:pt>
                <c:pt idx="12">
                  <c:v>0.15252293577981657</c:v>
                </c:pt>
              </c:numCache>
            </c:numRef>
          </c:val>
          <c:smooth val="0"/>
          <c:extLst>
            <c:ext xmlns:c16="http://schemas.microsoft.com/office/drawing/2014/chart" uri="{C3380CC4-5D6E-409C-BE32-E72D297353CC}">
              <c16:uniqueId val="{00000000-CB6A-465F-A17A-444D977D0793}"/>
            </c:ext>
          </c:extLst>
        </c:ser>
        <c:dLbls>
          <c:showLegendKey val="0"/>
          <c:showVal val="0"/>
          <c:showCatName val="0"/>
          <c:showSerName val="0"/>
          <c:showPercent val="0"/>
          <c:showBubbleSize val="0"/>
        </c:dLbls>
        <c:marker val="1"/>
        <c:smooth val="0"/>
        <c:axId val="261495200"/>
        <c:axId val="261494720"/>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1494720"/>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1495200"/>
        <c:crosses val="max"/>
        <c:crossBetween val="between"/>
      </c:valAx>
      <c:catAx>
        <c:axId val="261495200"/>
        <c:scaling>
          <c:orientation val="minMax"/>
        </c:scaling>
        <c:delete val="1"/>
        <c:axPos val="t"/>
        <c:numFmt formatCode="General" sourceLinked="1"/>
        <c:majorTickMark val="out"/>
        <c:minorTickMark val="none"/>
        <c:tickLblPos val="nextTo"/>
        <c:crossAx val="261494720"/>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rgbClr val="263238"/>
              </a:solidFill>
              <a:ln>
                <a:noFill/>
              </a:ln>
              <a:effectLst/>
            </c:spPr>
            <c:extLst>
              <c:ext xmlns:c16="http://schemas.microsoft.com/office/drawing/2014/chart" uri="{C3380CC4-5D6E-409C-BE32-E72D297353CC}">
                <c16:uniqueId val="{00000001-6722-4C42-89B0-C96EAFF36FDB}"/>
              </c:ext>
            </c:extLst>
          </c:dPt>
          <c:dPt>
            <c:idx val="1"/>
            <c:bubble3D val="0"/>
            <c:spPr>
              <a:solidFill>
                <a:srgbClr val="799098"/>
              </a:solidFill>
              <a:ln>
                <a:noFill/>
              </a:ln>
              <a:effectLst/>
            </c:spPr>
            <c:extLst>
              <c:ext xmlns:c16="http://schemas.microsoft.com/office/drawing/2014/chart" uri="{C3380CC4-5D6E-409C-BE32-E72D297353CC}">
                <c16:uniqueId val="{00000003-6722-4C42-89B0-C96EAFF36FDB}"/>
              </c:ext>
            </c:extLst>
          </c:dPt>
          <c:dPt>
            <c:idx val="2"/>
            <c:bubble3D val="0"/>
            <c:spPr>
              <a:solidFill>
                <a:srgbClr val="F9663E"/>
              </a:solidFill>
              <a:ln>
                <a:noFill/>
              </a:ln>
              <a:effectLst/>
            </c:spPr>
            <c:extLst>
              <c:ext xmlns:c16="http://schemas.microsoft.com/office/drawing/2014/chart" uri="{C3380CC4-5D6E-409C-BE32-E72D297353CC}">
                <c16:uniqueId val="{00000005-6722-4C42-89B0-C96EAFF36FDB}"/>
              </c:ext>
            </c:extLst>
          </c:dPt>
          <c:dPt>
            <c:idx val="3"/>
            <c:bubble3D val="0"/>
            <c:spPr>
              <a:solidFill>
                <a:srgbClr val="C7FE02"/>
              </a:solidFill>
              <a:ln>
                <a:noFill/>
              </a:ln>
              <a:effectLst/>
            </c:spPr>
            <c:extLst>
              <c:ext xmlns:c16="http://schemas.microsoft.com/office/drawing/2014/chart" uri="{C3380CC4-5D6E-409C-BE32-E72D297353CC}">
                <c16:uniqueId val="{00000007-6722-4C42-89B0-C96EAFF36FDB}"/>
              </c:ext>
            </c:extLst>
          </c:dPt>
          <c:dPt>
            <c:idx val="4"/>
            <c:bubble3D val="0"/>
            <c:spPr>
              <a:solidFill>
                <a:srgbClr val="00CA94"/>
              </a:solidFill>
              <a:ln>
                <a:noFill/>
              </a:ln>
              <a:effectLst/>
            </c:spPr>
            <c:extLst>
              <c:ext xmlns:c16="http://schemas.microsoft.com/office/drawing/2014/chart" uri="{C3380CC4-5D6E-409C-BE32-E72D297353CC}">
                <c16:uniqueId val="{00000009-6722-4C42-89B0-C96EAFF36FDB}"/>
              </c:ext>
            </c:extLst>
          </c:dPt>
          <c:dPt>
            <c:idx val="5"/>
            <c:bubble3D val="0"/>
            <c:spPr>
              <a:solidFill>
                <a:srgbClr val="465A63"/>
              </a:solidFill>
              <a:ln>
                <a:noFill/>
              </a:ln>
              <a:effectLst/>
            </c:spPr>
            <c:extLst>
              <c:ext xmlns:c16="http://schemas.microsoft.com/office/drawing/2014/chart" uri="{C3380CC4-5D6E-409C-BE32-E72D297353CC}">
                <c16:uniqueId val="{0000000B-6722-4C42-89B0-C96EAFF36FDB}"/>
              </c:ext>
            </c:extLst>
          </c:dPt>
          <c:dPt>
            <c:idx val="6"/>
            <c:bubble3D val="0"/>
            <c:spPr>
              <a:solidFill>
                <a:srgbClr val="B0BEC5"/>
              </a:solidFill>
              <a:ln>
                <a:noFill/>
              </a:ln>
              <a:effectLst/>
            </c:spPr>
            <c:extLst>
              <c:ext xmlns:c16="http://schemas.microsoft.com/office/drawing/2014/chart" uri="{C3380CC4-5D6E-409C-BE32-E72D297353CC}">
                <c16:uniqueId val="{0000000D-6722-4C42-89B0-C96EAFF36FDB}"/>
              </c:ext>
            </c:extLst>
          </c:dPt>
          <c:dPt>
            <c:idx val="7"/>
            <c:bubble3D val="0"/>
            <c:spPr>
              <a:solidFill>
                <a:srgbClr val="F19375"/>
              </a:solidFill>
              <a:ln>
                <a:noFill/>
              </a:ln>
              <a:effectLst/>
            </c:spPr>
            <c:extLst>
              <c:ext xmlns:c16="http://schemas.microsoft.com/office/drawing/2014/chart" uri="{C3380CC4-5D6E-409C-BE32-E72D297353CC}">
                <c16:uniqueId val="{0000000F-6722-4C42-89B0-C96EAFF36FDB}"/>
              </c:ext>
            </c:extLst>
          </c:dPt>
          <c:dPt>
            <c:idx val="8"/>
            <c:bubble3D val="0"/>
            <c:spPr>
              <a:solidFill>
                <a:srgbClr val="E3F982"/>
              </a:solidFill>
              <a:ln>
                <a:noFill/>
              </a:ln>
              <a:effectLst/>
            </c:spPr>
            <c:extLst>
              <c:ext xmlns:c16="http://schemas.microsoft.com/office/drawing/2014/chart" uri="{C3380CC4-5D6E-409C-BE32-E72D297353CC}">
                <c16:uniqueId val="{00000011-6722-4C42-89B0-C96EAFF36FDB}"/>
              </c:ext>
            </c:extLst>
          </c:dPt>
          <c:dPt>
            <c:idx val="9"/>
            <c:bubble3D val="0"/>
            <c:spPr>
              <a:solidFill>
                <a:srgbClr val="80D4C1"/>
              </a:solidFill>
              <a:ln>
                <a:noFill/>
              </a:ln>
              <a:effectLst/>
            </c:spPr>
            <c:extLst>
              <c:ext xmlns:c16="http://schemas.microsoft.com/office/drawing/2014/chart" uri="{C3380CC4-5D6E-409C-BE32-E72D297353CC}">
                <c16:uniqueId val="{00000013-6722-4C42-89B0-C96EAFF36FDB}"/>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1-6722-4C42-89B0-C96EAFF36FDB}"/>
                </c:ext>
              </c:extLst>
            </c:dLbl>
            <c:dLbl>
              <c:idx val="1"/>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6722-4C42-89B0-C96EAFF36FDB}"/>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B-6722-4C42-89B0-C96EAFF36FDB}"/>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D-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'Initiation charts'!$C$17:$C$20</c:f>
              <c:strCache>
                <c:ptCount val="4"/>
                <c:pt idx="0">
                  <c:v>Kyivstar</c:v>
                </c:pt>
                <c:pt idx="1">
                  <c:v>Ukrtelecom</c:v>
                </c:pt>
                <c:pt idx="2">
                  <c:v>Lifecell</c:v>
                </c:pt>
                <c:pt idx="3">
                  <c:v>Others</c:v>
                </c:pt>
              </c:strCache>
            </c:strRef>
          </c:cat>
          <c:val>
            <c:numRef>
              <c:f>'Initiation charts'!$H$17:$H$20</c:f>
              <c:numCache>
                <c:formatCode>0.0%</c:formatCode>
                <c:ptCount val="4"/>
                <c:pt idx="0">
                  <c:v>0.14099999999999999</c:v>
                </c:pt>
                <c:pt idx="1">
                  <c:v>5.3999999999999999E-2</c:v>
                </c:pt>
                <c:pt idx="2">
                  <c:v>4.8000000000000001E-2</c:v>
                </c:pt>
                <c:pt idx="3">
                  <c:v>0.75700000000000001</c:v>
                </c:pt>
              </c:numCache>
            </c:numRef>
          </c:val>
          <c:extLst>
            <c:ext xmlns:c16="http://schemas.microsoft.com/office/drawing/2014/chart" uri="{C3380CC4-5D6E-409C-BE32-E72D297353CC}">
              <c16:uniqueId val="{00000014-6722-4C42-89B0-C96EAFF36FDB}"/>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08965958809091E-2"/>
          <c:y val="3.2642229920551838E-2"/>
          <c:w val="0.91897716719121525"/>
          <c:h val="0.7379005439274029"/>
        </c:manualLayout>
      </c:layout>
      <c:barChart>
        <c:barDir val="col"/>
        <c:grouping val="clustered"/>
        <c:varyColors val="0"/>
        <c:ser>
          <c:idx val="0"/>
          <c:order val="0"/>
          <c:tx>
            <c:strRef>
              <c:f>'Initiation charts'!$C$89</c:f>
              <c:strCache>
                <c:ptCount val="1"/>
                <c:pt idx="0">
                  <c:v>Uklon MAU</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charts'!$F$80:$Q$80</c:f>
              <c:numCache>
                <c:formatCode>####"E"</c:formatCode>
                <c:ptCount val="12"/>
                <c:pt idx="0" formatCode="General">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'Initiation charts'!$F$89:$Q$89</c:f>
              <c:numCache>
                <c:formatCode>#,##0.0</c:formatCode>
                <c:ptCount val="12"/>
                <c:pt idx="0">
                  <c:v>2.8622327075999996</c:v>
                </c:pt>
                <c:pt idx="1">
                  <c:v>3.6055045662719993</c:v>
                </c:pt>
                <c:pt idx="2">
                  <c:v>4.2379701589388796</c:v>
                </c:pt>
                <c:pt idx="3">
                  <c:v>4.7566008385036511</c:v>
                </c:pt>
                <c:pt idx="4">
                  <c:v>5.1585058902381045</c:v>
                </c:pt>
                <c:pt idx="5">
                  <c:v>5.4409295048342807</c:v>
                </c:pt>
                <c:pt idx="6">
                  <c:v>5.6012478020088103</c:v>
                </c:pt>
                <c:pt idx="7">
                  <c:v>5.7622318129109882</c:v>
                </c:pt>
                <c:pt idx="8">
                  <c:v>5.9238319935423904</c:v>
                </c:pt>
                <c:pt idx="9">
                  <c:v>6.0859997790605469</c:v>
                </c:pt>
                <c:pt idx="10">
                  <c:v>6.2486875694508024</c:v>
                </c:pt>
                <c:pt idx="11">
                  <c:v>6.4118487153794321</c:v>
                </c:pt>
              </c:numCache>
            </c:numRef>
          </c:val>
          <c:extLst>
            <c:ext xmlns:c16="http://schemas.microsoft.com/office/drawing/2014/chart" uri="{C3380CC4-5D6E-409C-BE32-E72D297353CC}">
              <c16:uniqueId val="{00000000-39A5-4146-BDB8-E65C79FAD203}"/>
            </c:ext>
          </c:extLst>
        </c:ser>
        <c:dLbls>
          <c:dLblPos val="outEnd"/>
          <c:showLegendKey val="0"/>
          <c:showVal val="1"/>
          <c:showCatName val="0"/>
          <c:showSerName val="0"/>
          <c:showPercent val="0"/>
          <c:showBubbleSize val="0"/>
        </c:dLbls>
        <c:gapWidth val="150"/>
        <c:axId val="1495160607"/>
        <c:axId val="1495161855"/>
      </c:barChart>
      <c:lineChart>
        <c:grouping val="standard"/>
        <c:varyColors val="0"/>
        <c:ser>
          <c:idx val="1"/>
          <c:order val="1"/>
          <c:tx>
            <c:strRef>
              <c:f>'Initiation charts'!$C$90</c:f>
              <c:strCache>
                <c:ptCount val="1"/>
                <c:pt idx="0">
                  <c:v>Uklon MAU as % of Pop</c:v>
                </c:pt>
              </c:strCache>
            </c:strRef>
          </c:tx>
          <c:spPr>
            <a:ln w="28575" cap="rnd">
              <a:solidFill>
                <a:srgbClr val="F9663E"/>
              </a:solidFill>
              <a:prstDash val="dash"/>
              <a:round/>
            </a:ln>
            <a:effectLst/>
          </c:spPr>
          <c:marker>
            <c:symbol val="none"/>
          </c:marker>
          <c:dLbls>
            <c:spPr>
              <a:solidFill>
                <a:srgbClr val="F19375"/>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charts'!$D$70:$Q$70</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charts'!$F$90:$Q$90</c:f>
              <c:numCache>
                <c:formatCode>0.0%</c:formatCode>
                <c:ptCount val="12"/>
                <c:pt idx="0">
                  <c:v>7.5600000000000001E-2</c:v>
                </c:pt>
                <c:pt idx="1">
                  <c:v>9.5999999999999988E-2</c:v>
                </c:pt>
                <c:pt idx="2">
                  <c:v>0.11375</c:v>
                </c:pt>
                <c:pt idx="3">
                  <c:v>0.12869999999999998</c:v>
                </c:pt>
                <c:pt idx="4">
                  <c:v>0.14069999999999999</c:v>
                </c:pt>
                <c:pt idx="5">
                  <c:v>0.14959999999999998</c:v>
                </c:pt>
                <c:pt idx="6">
                  <c:v>0.15525</c:v>
                </c:pt>
                <c:pt idx="7">
                  <c:v>0.16099999999999998</c:v>
                </c:pt>
                <c:pt idx="8">
                  <c:v>0.16685</c:v>
                </c:pt>
                <c:pt idx="9">
                  <c:v>0.17280000000000004</c:v>
                </c:pt>
                <c:pt idx="10">
                  <c:v>0.17885000000000001</c:v>
                </c:pt>
                <c:pt idx="11">
                  <c:v>0.18500000000000003</c:v>
                </c:pt>
              </c:numCache>
            </c:numRef>
          </c:val>
          <c:smooth val="0"/>
          <c:extLst>
            <c:ext xmlns:c16="http://schemas.microsoft.com/office/drawing/2014/chart" uri="{C3380CC4-5D6E-409C-BE32-E72D297353CC}">
              <c16:uniqueId val="{00000001-39A5-4146-BDB8-E65C79FAD203}"/>
            </c:ext>
          </c:extLst>
        </c:ser>
        <c:dLbls>
          <c:showLegendKey val="0"/>
          <c:showVal val="1"/>
          <c:showCatName val="0"/>
          <c:showSerName val="0"/>
          <c:showPercent val="0"/>
          <c:showBubbleSize val="0"/>
        </c:dLbls>
        <c:marker val="1"/>
        <c:smooth val="0"/>
        <c:axId val="262031232"/>
        <c:axId val="262035072"/>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2035072"/>
        <c:scaling>
          <c:orientation val="minMax"/>
          <c:max val="0.2"/>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031232"/>
        <c:crosses val="max"/>
        <c:crossBetween val="between"/>
      </c:valAx>
      <c:catAx>
        <c:axId val="262031232"/>
        <c:scaling>
          <c:orientation val="minMax"/>
        </c:scaling>
        <c:delete val="1"/>
        <c:axPos val="b"/>
        <c:numFmt formatCode="General" sourceLinked="1"/>
        <c:majorTickMark val="out"/>
        <c:minorTickMark val="none"/>
        <c:tickLblPos val="nextTo"/>
        <c:crossAx val="2620350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5688003269292052E-2"/>
          <c:y val="6.018535472330596E-2"/>
          <c:w val="0.93217831922995953"/>
          <c:h val="0.65861986001749784"/>
        </c:manualLayout>
      </c:layout>
      <c:lineChart>
        <c:grouping val="standard"/>
        <c:varyColors val="0"/>
        <c:ser>
          <c:idx val="1"/>
          <c:order val="0"/>
          <c:tx>
            <c:strRef>
              <c:f>'Initiation charts'!$C$91</c:f>
              <c:strCache>
                <c:ptCount val="1"/>
                <c:pt idx="0">
                  <c:v>Estimated Uklon ARPU - US$</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charts'!$F$70:$Q$70</c:f>
              <c:numCache>
                <c:formatCode>####"E"</c:formatCode>
                <c:ptCount val="12"/>
                <c:pt idx="0" formatCode="General">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'Initiation charts'!$F$91:$Q$91</c:f>
              <c:numCache>
                <c:formatCode>0.0</c:formatCode>
                <c:ptCount val="12"/>
                <c:pt idx="0">
                  <c:v>1.9506916116596942</c:v>
                </c:pt>
                <c:pt idx="1">
                  <c:v>2.0629266042281462</c:v>
                </c:pt>
                <c:pt idx="2">
                  <c:v>2.1816191493290167</c:v>
                </c:pt>
                <c:pt idx="3">
                  <c:v>2.3071407887048108</c:v>
                </c:pt>
                <c:pt idx="4">
                  <c:v>2.4398844411237315</c:v>
                </c:pt>
                <c:pt idx="5">
                  <c:v>2.5802656323282274</c:v>
                </c:pt>
                <c:pt idx="6">
                  <c:v>2.7287237957498638</c:v>
                </c:pt>
                <c:pt idx="7">
                  <c:v>2.8857236480621289</c:v>
                </c:pt>
                <c:pt idx="8">
                  <c:v>3.0517566438770318</c:v>
                </c:pt>
                <c:pt idx="9">
                  <c:v>3.2273425141391399</c:v>
                </c:pt>
                <c:pt idx="10">
                  <c:v>3.4130308930326509</c:v>
                </c:pt>
                <c:pt idx="11">
                  <c:v>3.6094030384941767</c:v>
                </c:pt>
              </c:numCache>
            </c:numRef>
          </c:val>
          <c:smooth val="0"/>
          <c:extLst>
            <c:ext xmlns:c16="http://schemas.microsoft.com/office/drawing/2014/chart" uri="{C3380CC4-5D6E-409C-BE32-E72D297353CC}">
              <c16:uniqueId val="{00000001-96AF-4D4E-A9CA-D5AA75EDF64E}"/>
            </c:ext>
          </c:extLst>
        </c:ser>
        <c:dLbls>
          <c:dLblPos val="t"/>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charts'!$C$92</c:f>
              <c:strCache>
                <c:ptCount val="1"/>
                <c:pt idx="0">
                  <c:v>Revenue - Uklon, US$ m</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charts'!$E$92:$Q$92</c:f>
              <c:numCache>
                <c:formatCode>0</c:formatCode>
                <c:ptCount val="13"/>
                <c:pt idx="0">
                  <c:v>51.937984496124031</c:v>
                </c:pt>
                <c:pt idx="1">
                  <c:v>67</c:v>
                </c:pt>
                <c:pt idx="2">
                  <c:v>89.254695497142862</c:v>
                </c:pt>
                <c:pt idx="3">
                  <c:v>110.94764223631198</c:v>
                </c:pt>
                <c:pt idx="4">
                  <c:v>131.68977372119136</c:v>
                </c:pt>
                <c:pt idx="5">
                  <c:v>151.0338991324449</c:v>
                </c:pt>
                <c:pt idx="6">
                  <c:v>168.46852091093442</c:v>
                </c:pt>
                <c:pt idx="7">
                  <c:v>183.41109795879677</c:v>
                </c:pt>
                <c:pt idx="8">
                  <c:v>199.53850329759783</c:v>
                </c:pt>
                <c:pt idx="9">
                  <c:v>216.93712372205175</c:v>
                </c:pt>
                <c:pt idx="10">
                  <c:v>235.69926993604221</c:v>
                </c:pt>
                <c:pt idx="11">
                  <c:v>255.92356458533635</c:v>
                </c:pt>
                <c:pt idx="12">
                  <c:v>277.71535482786612</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lineChart>
        <c:grouping val="standard"/>
        <c:varyColors val="0"/>
        <c:ser>
          <c:idx val="2"/>
          <c:order val="1"/>
          <c:tx>
            <c:strRef>
              <c:f>'Initiation charts'!$C$93</c:f>
              <c:strCache>
                <c:ptCount val="1"/>
                <c:pt idx="0">
                  <c:v>USD growth</c:v>
                </c:pt>
              </c:strCache>
            </c:strRef>
          </c:tx>
          <c:spPr>
            <a:ln w="28575" cap="rnd">
              <a:solidFill>
                <a:schemeClr val="accent3"/>
              </a:solidFill>
              <a:prstDash val="dash"/>
              <a:round/>
            </a:ln>
            <a:effectLst/>
          </c:spPr>
          <c:marker>
            <c:symbol val="none"/>
          </c:marker>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charts'!$E$93:$Q$93</c:f>
              <c:numCache>
                <c:formatCode>0.0%</c:formatCode>
                <c:ptCount val="13"/>
                <c:pt idx="1">
                  <c:v>0.29000000000000004</c:v>
                </c:pt>
                <c:pt idx="2">
                  <c:v>0.33215963428571427</c:v>
                </c:pt>
                <c:pt idx="3">
                  <c:v>0.24304544000000017</c:v>
                </c:pt>
                <c:pt idx="4">
                  <c:v>0.18695423414857126</c:v>
                </c:pt>
                <c:pt idx="5">
                  <c:v>0.14689162920279752</c:v>
                </c:pt>
                <c:pt idx="6">
                  <c:v>0.1154351564690832</c:v>
                </c:pt>
                <c:pt idx="7">
                  <c:v>8.8696552727272726E-2</c:v>
                </c:pt>
                <c:pt idx="8">
                  <c:v>8.7930368000000092E-2</c:v>
                </c:pt>
                <c:pt idx="9">
                  <c:v>8.7194301535403973E-2</c:v>
                </c:pt>
                <c:pt idx="10">
                  <c:v>8.6486562982319493E-2</c:v>
                </c:pt>
                <c:pt idx="11">
                  <c:v>8.5805503999999866E-2</c:v>
                </c:pt>
                <c:pt idx="12">
                  <c:v>8.5149604249371125E-2</c:v>
                </c:pt>
              </c:numCache>
            </c:numRef>
          </c:val>
          <c:smooth val="0"/>
          <c:extLst xmlns:c15="http://schemas.microsoft.com/office/drawing/2012/chart">
            <c:ext xmlns:c16="http://schemas.microsoft.com/office/drawing/2014/chart" uri="{C3380CC4-5D6E-409C-BE32-E72D297353CC}">
              <c16:uniqueId val="{00000002-A325-4D22-BC1F-61EAC2BE42D9}"/>
            </c:ext>
          </c:extLst>
        </c:ser>
        <c:ser>
          <c:idx val="1"/>
          <c:order val="2"/>
          <c:tx>
            <c:strRef>
              <c:f>'Initiation charts'!$C$94</c:f>
              <c:strCache>
                <c:ptCount val="1"/>
                <c:pt idx="0">
                  <c:v>LLC growth</c:v>
                </c:pt>
              </c:strCache>
            </c:strRef>
          </c:tx>
          <c:spPr>
            <a:ln w="28575" cap="rnd">
              <a:solidFill>
                <a:srgbClr val="799098"/>
              </a:solidFill>
              <a:prstDash val="dash"/>
              <a:round/>
            </a:ln>
            <a:effectLst/>
          </c:spPr>
          <c:marker>
            <c:symbol val="none"/>
          </c:marker>
          <c:val>
            <c:numRef>
              <c:f>'Initiation charts'!$E$94:$Q$94</c:f>
              <c:numCache>
                <c:formatCode>0.0%</c:formatCode>
                <c:ptCount val="13"/>
                <c:pt idx="1">
                  <c:v>0.41663658736669396</c:v>
                </c:pt>
                <c:pt idx="2">
                  <c:v>0.38766628571428563</c:v>
                </c:pt>
                <c:pt idx="3">
                  <c:v>0.29483900000000007</c:v>
                </c:pt>
                <c:pt idx="4">
                  <c:v>0.23641066057142845</c:v>
                </c:pt>
                <c:pt idx="5">
                  <c:v>0.19467878041958064</c:v>
                </c:pt>
                <c:pt idx="6">
                  <c:v>0.1619116213219618</c:v>
                </c:pt>
                <c:pt idx="7">
                  <c:v>0.13405890909090923</c:v>
                </c:pt>
                <c:pt idx="8">
                  <c:v>0.13326080000000018</c:v>
                </c:pt>
                <c:pt idx="9">
                  <c:v>0.13249406409937903</c:v>
                </c:pt>
                <c:pt idx="10">
                  <c:v>0.1317568364399162</c:v>
                </c:pt>
                <c:pt idx="11">
                  <c:v>0.1310473999999997</c:v>
                </c:pt>
                <c:pt idx="12">
                  <c:v>0.13036417109309495</c:v>
                </c:pt>
              </c:numCache>
            </c:numRef>
          </c:val>
          <c:smooth val="0"/>
          <c:extLst>
            <c:ext xmlns:c16="http://schemas.microsoft.com/office/drawing/2014/chart" uri="{C3380CC4-5D6E-409C-BE32-E72D297353CC}">
              <c16:uniqueId val="{00000000-2211-4820-AF15-A8501347980A}"/>
            </c:ext>
          </c:extLst>
        </c:ser>
        <c:dLbls>
          <c:showLegendKey val="0"/>
          <c:showVal val="0"/>
          <c:showCatName val="0"/>
          <c:showSerName val="0"/>
          <c:showPercent val="0"/>
          <c:showBubbleSize val="0"/>
        </c:dLbls>
        <c:marker val="1"/>
        <c:smooth val="0"/>
        <c:axId val="261495200"/>
        <c:axId val="261494720"/>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1494720"/>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1495200"/>
        <c:crosses val="max"/>
        <c:crossBetween val="between"/>
      </c:valAx>
      <c:catAx>
        <c:axId val="261495200"/>
        <c:scaling>
          <c:orientation val="minMax"/>
        </c:scaling>
        <c:delete val="1"/>
        <c:axPos val="t"/>
        <c:numFmt formatCode="General" sourceLinked="1"/>
        <c:majorTickMark val="out"/>
        <c:minorTickMark val="none"/>
        <c:tickLblPos val="nextTo"/>
        <c:crossAx val="261494720"/>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charts'!$C$97</c:f>
              <c:strCache>
                <c:ptCount val="1"/>
                <c:pt idx="0">
                  <c:v>Revenue - Enterprise, US$ m</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charts'!$E$97:$Q$97</c:f>
              <c:numCache>
                <c:formatCode>0</c:formatCode>
                <c:ptCount val="13"/>
                <c:pt idx="0">
                  <c:v>4.3075820980547181</c:v>
                </c:pt>
                <c:pt idx="1">
                  <c:v>11.588645418326694</c:v>
                </c:pt>
                <c:pt idx="2">
                  <c:v>22.250199203187254</c:v>
                </c:pt>
                <c:pt idx="3">
                  <c:v>36.312325099601594</c:v>
                </c:pt>
                <c:pt idx="4">
                  <c:v>51.941149822470116</c:v>
                </c:pt>
                <c:pt idx="5">
                  <c:v>66.966685643114275</c:v>
                </c:pt>
                <c:pt idx="6">
                  <c:v>79.723571391384965</c:v>
                </c:pt>
                <c:pt idx="7">
                  <c:v>89.397803553729617</c:v>
                </c:pt>
                <c:pt idx="8">
                  <c:v>95.918751114261454</c:v>
                </c:pt>
                <c:pt idx="9">
                  <c:v>99.66534981038464</c:v>
                </c:pt>
                <c:pt idx="10">
                  <c:v>102.77033559982566</c:v>
                </c:pt>
                <c:pt idx="11">
                  <c:v>105.24080124440403</c:v>
                </c:pt>
                <c:pt idx="12">
                  <c:v>107.0967052319704</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lineChart>
        <c:grouping val="standard"/>
        <c:varyColors val="0"/>
        <c:ser>
          <c:idx val="2"/>
          <c:order val="1"/>
          <c:tx>
            <c:strRef>
              <c:f>'Initiation charts'!$C$98</c:f>
              <c:strCache>
                <c:ptCount val="1"/>
                <c:pt idx="0">
                  <c:v>USD growth</c:v>
                </c:pt>
              </c:strCache>
            </c:strRef>
          </c:tx>
          <c:spPr>
            <a:ln w="28575" cap="rnd">
              <a:solidFill>
                <a:srgbClr val="F9663E"/>
              </a:solidFill>
              <a:prstDash val="dash"/>
              <a:round/>
            </a:ln>
            <a:effectLst/>
          </c:spPr>
          <c:marker>
            <c:symbol val="none"/>
          </c:marker>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charts'!$E$98:$Q$98</c:f>
              <c:numCache>
                <c:formatCode>0.0%</c:formatCode>
                <c:ptCount val="13"/>
                <c:pt idx="1">
                  <c:v>1.6902900872301578</c:v>
                </c:pt>
                <c:pt idx="2">
                  <c:v>0.92000000000000015</c:v>
                </c:pt>
                <c:pt idx="3">
                  <c:v>0.6319999999999999</c:v>
                </c:pt>
                <c:pt idx="4">
                  <c:v>0.43039999999999989</c:v>
                </c:pt>
                <c:pt idx="5">
                  <c:v>0.28927999999999998</c:v>
                </c:pt>
                <c:pt idx="6">
                  <c:v>0.190496</c:v>
                </c:pt>
                <c:pt idx="7">
                  <c:v>0.12134719999999977</c:v>
                </c:pt>
                <c:pt idx="8">
                  <c:v>7.2943039999999959E-2</c:v>
                </c:pt>
                <c:pt idx="9">
                  <c:v>3.9060127999999805E-2</c:v>
                </c:pt>
                <c:pt idx="10">
                  <c:v>3.1154115199999888E-2</c:v>
                </c:pt>
                <c:pt idx="11">
                  <c:v>2.4038703680000051E-2</c:v>
                </c:pt>
                <c:pt idx="12">
                  <c:v>1.7634833311999998E-2</c:v>
                </c:pt>
              </c:numCache>
            </c:numRef>
          </c:val>
          <c:smooth val="0"/>
          <c:extLst xmlns:c15="http://schemas.microsoft.com/office/drawing/2012/chart">
            <c:ext xmlns:c16="http://schemas.microsoft.com/office/drawing/2014/chart" uri="{C3380CC4-5D6E-409C-BE32-E72D297353CC}">
              <c16:uniqueId val="{00000002-A325-4D22-BC1F-61EAC2BE42D9}"/>
            </c:ext>
          </c:extLst>
        </c:ser>
        <c:ser>
          <c:idx val="1"/>
          <c:order val="2"/>
          <c:tx>
            <c:strRef>
              <c:f>'Initiation charts'!$C$99</c:f>
              <c:strCache>
                <c:ptCount val="1"/>
                <c:pt idx="0">
                  <c:v>LLC growth</c:v>
                </c:pt>
              </c:strCache>
            </c:strRef>
          </c:tx>
          <c:spPr>
            <a:ln w="28575" cap="rnd">
              <a:solidFill>
                <a:srgbClr val="799098"/>
              </a:solidFill>
              <a:prstDash val="dash"/>
              <a:round/>
            </a:ln>
            <a:effectLst/>
          </c:spPr>
          <c:marker>
            <c:symbol val="none"/>
          </c:marker>
          <c:val>
            <c:numRef>
              <c:f>'Initiation charts'!$E$99:$Q$99</c:f>
              <c:numCache>
                <c:formatCode>0.0%</c:formatCode>
                <c:ptCount val="13"/>
                <c:pt idx="1">
                  <c:v>1.9543902079071129</c:v>
                </c:pt>
                <c:pt idx="2">
                  <c:v>1</c:v>
                </c:pt>
                <c:pt idx="3">
                  <c:v>0.7</c:v>
                </c:pt>
                <c:pt idx="4">
                  <c:v>0.48999999999999994</c:v>
                </c:pt>
                <c:pt idx="5">
                  <c:v>0.34299999999999992</c:v>
                </c:pt>
                <c:pt idx="6">
                  <c:v>0.24009999999999992</c:v>
                </c:pt>
                <c:pt idx="7">
                  <c:v>0.16806999999999994</c:v>
                </c:pt>
                <c:pt idx="8">
                  <c:v>0.11764899999999995</c:v>
                </c:pt>
                <c:pt idx="9">
                  <c:v>8.2354299999999964E-2</c:v>
                </c:pt>
                <c:pt idx="10">
                  <c:v>7.4118869999999976E-2</c:v>
                </c:pt>
                <c:pt idx="11">
                  <c:v>6.6706982999999984E-2</c:v>
                </c:pt>
                <c:pt idx="12">
                  <c:v>6.0036284699999984E-2</c:v>
                </c:pt>
              </c:numCache>
            </c:numRef>
          </c:val>
          <c:smooth val="0"/>
          <c:extLst>
            <c:ext xmlns:c16="http://schemas.microsoft.com/office/drawing/2014/chart" uri="{C3380CC4-5D6E-409C-BE32-E72D297353CC}">
              <c16:uniqueId val="{00000000-9BDF-46DE-A3CA-DE06248836BC}"/>
            </c:ext>
          </c:extLst>
        </c:ser>
        <c:dLbls>
          <c:showLegendKey val="0"/>
          <c:showVal val="0"/>
          <c:showCatName val="0"/>
          <c:showSerName val="0"/>
          <c:showPercent val="0"/>
          <c:showBubbleSize val="0"/>
        </c:dLbls>
        <c:marker val="1"/>
        <c:smooth val="0"/>
        <c:axId val="261495200"/>
        <c:axId val="261494720"/>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1494720"/>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1495200"/>
        <c:crosses val="max"/>
        <c:crossBetween val="between"/>
      </c:valAx>
      <c:catAx>
        <c:axId val="261495200"/>
        <c:scaling>
          <c:orientation val="minMax"/>
        </c:scaling>
        <c:delete val="1"/>
        <c:axPos val="t"/>
        <c:numFmt formatCode="General" sourceLinked="1"/>
        <c:majorTickMark val="out"/>
        <c:minorTickMark val="none"/>
        <c:tickLblPos val="nextTo"/>
        <c:crossAx val="261494720"/>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'Initiation charts'!$C$102</c:f>
              <c:strCache>
                <c:ptCount val="1"/>
                <c:pt idx="0">
                  <c:v>Helsi</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charts'!$E$102:$Q$102</c:f>
              <c:numCache>
                <c:formatCode>#,##0;\(#,##0\);"--"_)</c:formatCode>
                <c:ptCount val="13"/>
                <c:pt idx="0">
                  <c:v>3.6242455508289422</c:v>
                </c:pt>
                <c:pt idx="1">
                  <c:v>5.1220119521912348</c:v>
                </c:pt>
                <c:pt idx="2">
                  <c:v>6.3368635893742811</c:v>
                </c:pt>
                <c:pt idx="3">
                  <c:v>7.8232519375094398</c:v>
                </c:pt>
                <c:pt idx="4">
                  <c:v>8.7669179643215589</c:v>
                </c:pt>
                <c:pt idx="5">
                  <c:v>9.8047395758316007</c:v>
                </c:pt>
                <c:pt idx="6">
                  <c:v>10.945030788500818</c:v>
                </c:pt>
                <c:pt idx="7">
                  <c:v>12.196782280668083</c:v>
                </c:pt>
                <c:pt idx="8">
                  <c:v>13.56971338870564</c:v>
                </c:pt>
                <c:pt idx="9">
                  <c:v>15.074327932568329</c:v>
                </c:pt>
                <c:pt idx="10">
                  <c:v>16.721974143727358</c:v>
                </c:pt>
                <c:pt idx="11">
                  <c:v>18.524908987446334</c:v>
                </c:pt>
                <c:pt idx="12">
                  <c:v>20.496367191614937</c:v>
                </c:pt>
              </c:numCache>
            </c:numRef>
          </c:val>
          <c:extLst>
            <c:ext xmlns:c16="http://schemas.microsoft.com/office/drawing/2014/chart" uri="{C3380CC4-5D6E-409C-BE32-E72D297353CC}">
              <c16:uniqueId val="{00000001-3AC6-476A-8876-8B65B738C694}"/>
            </c:ext>
          </c:extLst>
        </c:ser>
        <c:ser>
          <c:idx val="2"/>
          <c:order val="1"/>
          <c:tx>
            <c:strRef>
              <c:f>'Initiation charts'!$C$103</c:f>
              <c:strCache>
                <c:ptCount val="1"/>
                <c:pt idx="0">
                  <c:v>Kyivstar TV - Net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charts'!$E$103:$Q$103</c:f>
              <c:numCache>
                <c:formatCode>#,##0;\(#,##0\);"--"_)</c:formatCode>
                <c:ptCount val="13"/>
                <c:pt idx="0">
                  <c:v>2.8967203412722049</c:v>
                </c:pt>
                <c:pt idx="1">
                  <c:v>5.2016932270916341</c:v>
                </c:pt>
                <c:pt idx="2">
                  <c:v>7.808214415067007</c:v>
                </c:pt>
                <c:pt idx="3">
                  <c:v>10.079351608837378</c:v>
                </c:pt>
                <c:pt idx="4">
                  <c:v>12.620500140162546</c:v>
                </c:pt>
                <c:pt idx="5">
                  <c:v>15.396562257975148</c:v>
                </c:pt>
                <c:pt idx="6">
                  <c:v>18.364835308332047</c:v>
                </c:pt>
                <c:pt idx="7">
                  <c:v>21.477622221650254</c:v>
                </c:pt>
                <c:pt idx="8">
                  <c:v>24.684818790597532</c:v>
                </c:pt>
                <c:pt idx="9">
                  <c:v>27.936279814226644</c:v>
                </c:pt>
                <c:pt idx="10">
                  <c:v>31.183830633146851</c:v>
                </c:pt>
                <c:pt idx="11">
                  <c:v>34.382852747850308</c:v>
                </c:pt>
                <c:pt idx="12">
                  <c:v>37.49342506839227</c:v>
                </c:pt>
              </c:numCache>
            </c:numRef>
          </c:val>
          <c:extLst>
            <c:ext xmlns:c16="http://schemas.microsoft.com/office/drawing/2014/chart" uri="{C3380CC4-5D6E-409C-BE32-E72D297353CC}">
              <c16:uniqueId val="{00000002-3AC6-476A-8876-8B65B738C694}"/>
            </c:ext>
          </c:extLst>
        </c:ser>
        <c:ser>
          <c:idx val="3"/>
          <c:order val="2"/>
          <c:tx>
            <c:strRef>
              <c:f>'Initiation charts'!$C$104</c:f>
              <c:strCache>
                <c:ptCount val="1"/>
                <c:pt idx="0">
                  <c:v>B2B/Cloud</c:v>
                </c:pt>
              </c:strCache>
            </c:strRef>
          </c:tx>
          <c:spPr>
            <a:solidFill>
              <a:srgbClr val="C7FE0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charts'!$E$104:$Q$104</c:f>
              <c:numCache>
                <c:formatCode>#,##0;\(#,##0\);"--"_)</c:formatCode>
                <c:ptCount val="13"/>
                <c:pt idx="0">
                  <c:v>4.3075820980547181</c:v>
                </c:pt>
                <c:pt idx="1">
                  <c:v>11.588645418326694</c:v>
                </c:pt>
                <c:pt idx="2">
                  <c:v>22.250199203187254</c:v>
                </c:pt>
                <c:pt idx="3">
                  <c:v>36.312325099601594</c:v>
                </c:pt>
                <c:pt idx="4">
                  <c:v>51.941149822470116</c:v>
                </c:pt>
                <c:pt idx="5">
                  <c:v>66.966685643114275</c:v>
                </c:pt>
                <c:pt idx="6">
                  <c:v>79.723571391384965</c:v>
                </c:pt>
                <c:pt idx="7">
                  <c:v>89.397803553729617</c:v>
                </c:pt>
                <c:pt idx="8">
                  <c:v>95.918751114261454</c:v>
                </c:pt>
                <c:pt idx="9">
                  <c:v>99.66534981038464</c:v>
                </c:pt>
                <c:pt idx="10">
                  <c:v>102.77033559982566</c:v>
                </c:pt>
                <c:pt idx="11">
                  <c:v>105.24080124440403</c:v>
                </c:pt>
                <c:pt idx="12">
                  <c:v>107.0967052319704</c:v>
                </c:pt>
              </c:numCache>
            </c:numRef>
          </c:val>
          <c:extLst>
            <c:ext xmlns:c16="http://schemas.microsoft.com/office/drawing/2014/chart" uri="{C3380CC4-5D6E-409C-BE32-E72D297353CC}">
              <c16:uniqueId val="{00000003-3AC6-476A-8876-8B65B738C694}"/>
            </c:ext>
          </c:extLst>
        </c:ser>
        <c:ser>
          <c:idx val="4"/>
          <c:order val="3"/>
          <c:tx>
            <c:strRef>
              <c:f>'Initiation charts'!$C$105</c:f>
              <c:strCache>
                <c:ptCount val="1"/>
                <c:pt idx="0">
                  <c:v>Uklon</c:v>
                </c:pt>
              </c:strCache>
            </c:strRef>
          </c:tx>
          <c:spPr>
            <a:solidFill>
              <a:srgbClr val="00CA9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charts'!$E$105:$Q$105</c:f>
              <c:numCache>
                <c:formatCode>#,##0;\(#,##0\);"--"_)</c:formatCode>
                <c:ptCount val="13"/>
                <c:pt idx="0">
                  <c:v>0</c:v>
                </c:pt>
                <c:pt idx="1">
                  <c:v>0</c:v>
                </c:pt>
                <c:pt idx="2">
                  <c:v>75.866491172571429</c:v>
                </c:pt>
                <c:pt idx="3">
                  <c:v>110.94764223631198</c:v>
                </c:pt>
                <c:pt idx="4">
                  <c:v>131.68977372119136</c:v>
                </c:pt>
                <c:pt idx="5">
                  <c:v>151.0338991324449</c:v>
                </c:pt>
                <c:pt idx="6">
                  <c:v>168.46852091093442</c:v>
                </c:pt>
                <c:pt idx="7">
                  <c:v>183.41109795879677</c:v>
                </c:pt>
                <c:pt idx="8">
                  <c:v>199.53850329759783</c:v>
                </c:pt>
                <c:pt idx="9">
                  <c:v>216.93712372205175</c:v>
                </c:pt>
                <c:pt idx="10">
                  <c:v>235.69926993604221</c:v>
                </c:pt>
                <c:pt idx="11">
                  <c:v>255.92356458533635</c:v>
                </c:pt>
                <c:pt idx="12">
                  <c:v>277.71535482786612</c:v>
                </c:pt>
              </c:numCache>
            </c:numRef>
          </c:val>
          <c:extLst>
            <c:ext xmlns:c16="http://schemas.microsoft.com/office/drawing/2014/chart" uri="{C3380CC4-5D6E-409C-BE32-E72D297353CC}">
              <c16:uniqueId val="{00000004-3AC6-476A-8876-8B65B738C694}"/>
            </c:ext>
          </c:extLst>
        </c:ser>
        <c:ser>
          <c:idx val="5"/>
          <c:order val="4"/>
          <c:tx>
            <c:strRef>
              <c:f>'Initiation charts'!$C$106</c:f>
              <c:strCache>
                <c:ptCount val="1"/>
                <c:pt idx="0">
                  <c:v>Adjustments</c:v>
                </c:pt>
              </c:strCache>
            </c:strRef>
          </c:tx>
          <c:spPr>
            <a:solidFill>
              <a:srgbClr val="465A63"/>
            </a:solidFill>
            <a:ln>
              <a:noFill/>
            </a:ln>
            <a:effectLst/>
          </c:spPr>
          <c:invertIfNegative val="0"/>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charts'!$E$106:$Q$106</c:f>
              <c:numCache>
                <c:formatCode>#,##0;\(#,##0\);"--"_)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5-3AC6-476A-8876-8B65B738C694}"/>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6"/>
          <c:order val="5"/>
          <c:tx>
            <c:strRef>
              <c:f>'Initiation charts'!$C$107</c:f>
              <c:strCache>
                <c:ptCount val="1"/>
                <c:pt idx="0">
                  <c:v>Direct Digital revenue</c:v>
                </c:pt>
              </c:strCache>
            </c:strRef>
          </c:tx>
          <c:spPr>
            <a:ln w="28575" cap="rnd">
              <a:noFill/>
              <a:round/>
            </a:ln>
            <a:effectLst/>
          </c:spPr>
          <c:marker>
            <c:symbol val="none"/>
          </c:marker>
          <c:dLbls>
            <c:spPr>
              <a:solidFill>
                <a:srgbClr val="263238"/>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charts'!$E$107:$Q$107</c:f>
              <c:numCache>
                <c:formatCode>#,##0;\(#,##0\);"--"_)</c:formatCode>
                <c:ptCount val="13"/>
                <c:pt idx="0">
                  <c:v>10.828547990155865</c:v>
                </c:pt>
                <c:pt idx="1">
                  <c:v>21.912350597609564</c:v>
                </c:pt>
                <c:pt idx="2">
                  <c:v>112.26176838019997</c:v>
                </c:pt>
                <c:pt idx="3">
                  <c:v>165.16257088226038</c:v>
                </c:pt>
                <c:pt idx="4">
                  <c:v>205.01834164814557</c:v>
                </c:pt>
                <c:pt idx="5">
                  <c:v>243.20188660936589</c:v>
                </c:pt>
                <c:pt idx="6">
                  <c:v>277.50195839915222</c:v>
                </c:pt>
                <c:pt idx="7">
                  <c:v>306.48330601484474</c:v>
                </c:pt>
                <c:pt idx="8">
                  <c:v>333.71178659116242</c:v>
                </c:pt>
                <c:pt idx="9">
                  <c:v>359.61308127923144</c:v>
                </c:pt>
                <c:pt idx="10">
                  <c:v>386.37541031274208</c:v>
                </c:pt>
                <c:pt idx="11">
                  <c:v>414.07212756503702</c:v>
                </c:pt>
                <c:pt idx="12">
                  <c:v>442.8018523198437</c:v>
                </c:pt>
              </c:numCache>
            </c:numRef>
          </c:val>
          <c:smooth val="0"/>
          <c:extLst>
            <c:ext xmlns:c16="http://schemas.microsoft.com/office/drawing/2014/chart" uri="{C3380CC4-5D6E-409C-BE32-E72D297353CC}">
              <c16:uniqueId val="{00000006-3AC6-476A-8876-8B65B738C694}"/>
            </c:ext>
          </c:extLst>
        </c:ser>
        <c:dLbls>
          <c:showLegendKey val="0"/>
          <c:showVal val="0"/>
          <c:showCatName val="0"/>
          <c:showSerName val="0"/>
          <c:showPercent val="0"/>
          <c:showBubbleSize val="0"/>
        </c:dLbls>
        <c:marker val="1"/>
        <c:smooth val="0"/>
        <c:axId val="2136338656"/>
        <c:axId val="2136340096"/>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max val="600"/>
        </c:scaling>
        <c:delete val="0"/>
        <c:axPos val="l"/>
        <c:numFmt formatCode="#,##0;\(#,##0\);&quot;--&quot;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majorUnit val="100"/>
      </c:valAx>
      <c:valAx>
        <c:axId val="2136340096"/>
        <c:scaling>
          <c:orientation val="minMax"/>
        </c:scaling>
        <c:delete val="0"/>
        <c:axPos val="r"/>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6338656"/>
        <c:crosses val="max"/>
        <c:crossBetween val="between"/>
      </c:valAx>
      <c:catAx>
        <c:axId val="2136338656"/>
        <c:scaling>
          <c:orientation val="minMax"/>
        </c:scaling>
        <c:delete val="1"/>
        <c:axPos val="b"/>
        <c:numFmt formatCode="General" sourceLinked="1"/>
        <c:majorTickMark val="out"/>
        <c:minorTickMark val="none"/>
        <c:tickLblPos val="nextTo"/>
        <c:crossAx val="2136340096"/>
        <c:crosses val="autoZero"/>
        <c:auto val="1"/>
        <c:lblAlgn val="ctr"/>
        <c:lblOffset val="100"/>
        <c:noMultiLvlLbl val="0"/>
      </c:cat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'Initiation charts'!$C$108</c:f>
              <c:strCache>
                <c:ptCount val="1"/>
                <c:pt idx="0">
                  <c:v>Digital revenue as % of sales - Net basis for Kyivstar TV</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charts'!$E$108:$Q$108</c:f>
              <c:numCache>
                <c:formatCode>0%</c:formatCode>
                <c:ptCount val="13"/>
                <c:pt idx="0">
                  <c:v>1.1834478677765973E-2</c:v>
                </c:pt>
                <c:pt idx="1">
                  <c:v>2.384368944244784E-2</c:v>
                </c:pt>
                <c:pt idx="2">
                  <c:v>0.1087240061409358</c:v>
                </c:pt>
                <c:pt idx="3">
                  <c:v>0.14723741103152393</c:v>
                </c:pt>
                <c:pt idx="4">
                  <c:v>0.16965364950411727</c:v>
                </c:pt>
                <c:pt idx="5">
                  <c:v>0.18840846564939159</c:v>
                </c:pt>
                <c:pt idx="6">
                  <c:v>0.20473568847119469</c:v>
                </c:pt>
                <c:pt idx="7">
                  <c:v>0.21537707761576713</c:v>
                </c:pt>
                <c:pt idx="8">
                  <c:v>0.22341009419005656</c:v>
                </c:pt>
                <c:pt idx="9">
                  <c:v>0.22939327372880006</c:v>
                </c:pt>
                <c:pt idx="10">
                  <c:v>0.23498026482914955</c:v>
                </c:pt>
                <c:pt idx="11">
                  <c:v>0.24023290355590668</c:v>
                </c:pt>
                <c:pt idx="12">
                  <c:v>0.24511788043120147</c:v>
                </c:pt>
              </c:numCache>
            </c:numRef>
          </c:val>
          <c:smooth val="0"/>
          <c:extLst>
            <c:ext xmlns:c16="http://schemas.microsoft.com/office/drawing/2014/chart" uri="{C3380CC4-5D6E-409C-BE32-E72D297353CC}">
              <c16:uniqueId val="{00000000-96AF-4D4E-A9CA-D5AA75EDF64E}"/>
            </c:ext>
          </c:extLst>
        </c:ser>
        <c:ser>
          <c:idx val="1"/>
          <c:order val="1"/>
          <c:tx>
            <c:strRef>
              <c:f>'Initiation charts'!$C$119</c:f>
              <c:strCache>
                <c:ptCount val="1"/>
                <c:pt idx="0">
                  <c:v>Digital revenue as % of sales - Gross basis for Kyivstar TV</c:v>
                </c:pt>
              </c:strCache>
            </c:strRef>
          </c:tx>
          <c:spPr>
            <a:ln w="28575" cap="rnd">
              <a:solidFill>
                <a:srgbClr val="799098"/>
              </a:solidFill>
              <a:prstDash val="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charts'!$E$119:$Q$119</c:f>
              <c:numCache>
                <c:formatCode>0%</c:formatCode>
                <c:ptCount val="13"/>
                <c:pt idx="0">
                  <c:v>2.0540468774485714E-2</c:v>
                </c:pt>
                <c:pt idx="1">
                  <c:v>3.9409147956595815E-2</c:v>
                </c:pt>
                <c:pt idx="2">
                  <c:v>0.12951991913716165</c:v>
                </c:pt>
                <c:pt idx="3">
                  <c:v>0.17194735879113987</c:v>
                </c:pt>
                <c:pt idx="4">
                  <c:v>0.19837333964435896</c:v>
                </c:pt>
                <c:pt idx="5">
                  <c:v>0.22120968054658299</c:v>
                </c:pt>
                <c:pt idx="6">
                  <c:v>0.24199606443774546</c:v>
                </c:pt>
                <c:pt idx="7">
                  <c:v>0.25688314139801016</c:v>
                </c:pt>
                <c:pt idx="8">
                  <c:v>0.26885590779276164</c:v>
                </c:pt>
                <c:pt idx="9">
                  <c:v>0.27839895871078341</c:v>
                </c:pt>
                <c:pt idx="10">
                  <c:v>0.28713383777583606</c:v>
                </c:pt>
                <c:pt idx="11">
                  <c:v>0.29508978233446742</c:v>
                </c:pt>
                <c:pt idx="12">
                  <c:v>0.30219385989128333</c:v>
                </c:pt>
              </c:numCache>
            </c:numRef>
          </c:val>
          <c:smooth val="0"/>
          <c:extLst>
            <c:ext xmlns:c16="http://schemas.microsoft.com/office/drawing/2014/chart" uri="{C3380CC4-5D6E-409C-BE32-E72D297353CC}">
              <c16:uniqueId val="{00000000-49FF-476E-A667-1BFDBE07F53D}"/>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8724205272999206E-2"/>
          <c:y val="4.1666697044835992E-2"/>
          <c:w val="0.94255158945400164"/>
          <c:h val="0.83410530337219557"/>
        </c:manualLayout>
      </c:layout>
      <c:barChart>
        <c:barDir val="col"/>
        <c:grouping val="clustered"/>
        <c:varyColors val="0"/>
        <c:ser>
          <c:idx val="0"/>
          <c:order val="0"/>
          <c:tx>
            <c:strRef>
              <c:f>'Initiation charts'!$Q$230</c:f>
              <c:strCache>
                <c:ptCount val="1"/>
                <c:pt idx="0">
                  <c:v>EV/Sales</c:v>
                </c:pt>
              </c:strCache>
            </c:strRef>
          </c:tx>
          <c:spPr>
            <a:solidFill>
              <a:srgbClr val="263238"/>
            </a:solidFill>
            <a:ln>
              <a:noFill/>
            </a:ln>
            <a:effectLst/>
          </c:spPr>
          <c:invertIfNegative val="0"/>
          <c:dPt>
            <c:idx val="0"/>
            <c:invertIfNegative val="0"/>
            <c:bubble3D val="0"/>
            <c:spPr>
              <a:solidFill>
                <a:srgbClr val="F9663E"/>
              </a:solidFill>
              <a:ln>
                <a:noFill/>
              </a:ln>
              <a:effectLst/>
            </c:spPr>
            <c:extLst>
              <c:ext xmlns:c16="http://schemas.microsoft.com/office/drawing/2014/chart" uri="{C3380CC4-5D6E-409C-BE32-E72D297353CC}">
                <c16:uniqueId val="{0000000B-DBBE-4649-AAAA-7889CC906354}"/>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charts'!$P$231:$P$235</c:f>
              <c:strCache>
                <c:ptCount val="5"/>
                <c:pt idx="0">
                  <c:v>Uklon</c:v>
                </c:pt>
                <c:pt idx="1">
                  <c:v>Lyft</c:v>
                </c:pt>
                <c:pt idx="2">
                  <c:v>GoTo</c:v>
                </c:pt>
                <c:pt idx="3">
                  <c:v>Uber</c:v>
                </c:pt>
                <c:pt idx="4">
                  <c:v>Grab</c:v>
                </c:pt>
              </c:strCache>
            </c:strRef>
          </c:cat>
          <c:val>
            <c:numRef>
              <c:f>'Initiation charts'!$Q$231:$Q$235</c:f>
              <c:numCache>
                <c:formatCode>0.0\x;\(0.0\)\x;"--"</c:formatCode>
                <c:ptCount val="5"/>
                <c:pt idx="0">
                  <c:v>1.8030466392360551</c:v>
                </c:pt>
                <c:pt idx="1">
                  <c:v>0.68748804149160081</c:v>
                </c:pt>
                <c:pt idx="2">
                  <c:v>2.5165925912634051</c:v>
                </c:pt>
                <c:pt idx="3">
                  <c:v>3.773828987070309</c:v>
                </c:pt>
                <c:pt idx="4">
                  <c:v>4.2279819542783317</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x;\(0.0\)\x;&quot;--&quot;"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charts'!$S$230</c:f>
              <c:strCache>
                <c:ptCount val="1"/>
                <c:pt idx="0">
                  <c:v>EV/EBITDA</c:v>
                </c:pt>
              </c:strCache>
            </c:strRef>
          </c:tx>
          <c:spPr>
            <a:solidFill>
              <a:srgbClr val="263238"/>
            </a:solidFill>
            <a:ln>
              <a:noFill/>
            </a:ln>
            <a:effectLst/>
          </c:spPr>
          <c:invertIfNegative val="0"/>
          <c:dPt>
            <c:idx val="0"/>
            <c:invertIfNegative val="0"/>
            <c:bubble3D val="0"/>
            <c:spPr>
              <a:solidFill>
                <a:srgbClr val="F9663E"/>
              </a:solidFill>
              <a:ln>
                <a:noFill/>
              </a:ln>
              <a:effectLst/>
            </c:spPr>
            <c:extLst>
              <c:ext xmlns:c16="http://schemas.microsoft.com/office/drawing/2014/chart" uri="{C3380CC4-5D6E-409C-BE32-E72D297353CC}">
                <c16:uniqueId val="{0000000C-259C-4AAA-A9DA-090A814B11EE}"/>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charts'!$R$231:$R$235</c:f>
              <c:strCache>
                <c:ptCount val="5"/>
                <c:pt idx="0">
                  <c:v>Uklon</c:v>
                </c:pt>
                <c:pt idx="1">
                  <c:v>Lyft</c:v>
                </c:pt>
                <c:pt idx="2">
                  <c:v>Uber</c:v>
                </c:pt>
                <c:pt idx="3">
                  <c:v>GoTo</c:v>
                </c:pt>
                <c:pt idx="4">
                  <c:v>Grab</c:v>
                </c:pt>
              </c:strCache>
            </c:strRef>
          </c:cat>
          <c:val>
            <c:numRef>
              <c:f>'Initiation charts'!$S$231:$S$235</c:f>
              <c:numCache>
                <c:formatCode>0.0\x;\(0.0\)\x;"--"</c:formatCode>
                <c:ptCount val="5"/>
                <c:pt idx="0">
                  <c:v>6.6124804125941008</c:v>
                </c:pt>
                <c:pt idx="1">
                  <c:v>8.598334504616286</c:v>
                </c:pt>
                <c:pt idx="2">
                  <c:v>22.208358312103531</c:v>
                </c:pt>
                <c:pt idx="3">
                  <c:v>28.706545645229525</c:v>
                </c:pt>
                <c:pt idx="4">
                  <c:v>30.228516715173392</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x;\(0.0\)\x;&quot;--&quot;"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v>Status quo</c:v>
          </c:tx>
          <c:spPr>
            <a:ln w="28575" cap="rnd">
              <a:solidFill>
                <a:srgbClr val="263238"/>
              </a:solidFill>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charts'!$E$108:$Q$108</c:f>
              <c:numCache>
                <c:formatCode>0%</c:formatCode>
                <c:ptCount val="13"/>
                <c:pt idx="0">
                  <c:v>1.1834478677765973E-2</c:v>
                </c:pt>
                <c:pt idx="1">
                  <c:v>2.384368944244784E-2</c:v>
                </c:pt>
                <c:pt idx="2">
                  <c:v>0.1087240061409358</c:v>
                </c:pt>
                <c:pt idx="3">
                  <c:v>0.14723741103152393</c:v>
                </c:pt>
                <c:pt idx="4">
                  <c:v>0.16965364950411727</c:v>
                </c:pt>
                <c:pt idx="5">
                  <c:v>0.18840846564939159</c:v>
                </c:pt>
                <c:pt idx="6">
                  <c:v>0.20473568847119469</c:v>
                </c:pt>
                <c:pt idx="7">
                  <c:v>0.21537707761576713</c:v>
                </c:pt>
                <c:pt idx="8">
                  <c:v>0.22341009419005656</c:v>
                </c:pt>
                <c:pt idx="9">
                  <c:v>0.22939327372880006</c:v>
                </c:pt>
                <c:pt idx="10">
                  <c:v>0.23498026482914955</c:v>
                </c:pt>
                <c:pt idx="11">
                  <c:v>0.24023290355590668</c:v>
                </c:pt>
                <c:pt idx="12">
                  <c:v>0.24511788043120147</c:v>
                </c:pt>
              </c:numCache>
            </c:numRef>
          </c:val>
          <c:smooth val="0"/>
          <c:extLst>
            <c:ext xmlns:c16="http://schemas.microsoft.com/office/drawing/2014/chart" uri="{C3380CC4-5D6E-409C-BE32-E72D297353CC}">
              <c16:uniqueId val="{00000000-E46B-4747-AC85-93031AD0EA99}"/>
            </c:ext>
          </c:extLst>
        </c:ser>
        <c:ser>
          <c:idx val="0"/>
          <c:order val="1"/>
          <c:tx>
            <c:v>2 more Uklons, net basis for Kyivstar TV</c:v>
          </c:tx>
          <c:spPr>
            <a:ln w="28575" cap="rnd">
              <a:solidFill>
                <a:srgbClr val="F9663E"/>
              </a:solidFill>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charts'!$E$129:$Q$129</c:f>
              <c:numCache>
                <c:formatCode>0%</c:formatCode>
                <c:ptCount val="13"/>
                <c:pt idx="0">
                  <c:v>1.1834478677765973E-2</c:v>
                </c:pt>
                <c:pt idx="1">
                  <c:v>2.384368944244784E-2</c:v>
                </c:pt>
                <c:pt idx="2">
                  <c:v>0.1087240061409358</c:v>
                </c:pt>
                <c:pt idx="3">
                  <c:v>0.28806695220231104</c:v>
                </c:pt>
                <c:pt idx="4">
                  <c:v>0.31824144336884091</c:v>
                </c:pt>
                <c:pt idx="5">
                  <c:v>0.34231465000655076</c:v>
                </c:pt>
                <c:pt idx="6">
                  <c:v>0.36306793460362269</c:v>
                </c:pt>
                <c:pt idx="7">
                  <c:v>0.37618400938769164</c:v>
                </c:pt>
                <c:pt idx="8">
                  <c:v>0.38714631236662861</c:v>
                </c:pt>
                <c:pt idx="9">
                  <c:v>0.39643745512065165</c:v>
                </c:pt>
                <c:pt idx="10">
                  <c:v>0.40543512584779084</c:v>
                </c:pt>
                <c:pt idx="11">
                  <c:v>0.41419351931367504</c:v>
                </c:pt>
                <c:pt idx="12">
                  <c:v>0.42263677033522756</c:v>
                </c:pt>
              </c:numCache>
            </c:numRef>
          </c:val>
          <c:smooth val="0"/>
          <c:extLst>
            <c:ext xmlns:c16="http://schemas.microsoft.com/office/drawing/2014/chart" uri="{C3380CC4-5D6E-409C-BE32-E72D297353CC}">
              <c16:uniqueId val="{00000000-DD71-457D-9BE9-1B5D275BF4A6}"/>
            </c:ext>
          </c:extLst>
        </c:ser>
        <c:dLbls>
          <c:dLblPos val="t"/>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extLst/>
  </c:chart>
  <c:spPr>
    <a:noFill/>
    <a:ln w="9525" cap="flat" cmpd="sng" algn="ctr">
      <a:noFill/>
      <a:round/>
    </a:ln>
    <a:effec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'Initiation charts'!$C$124</c:f>
              <c:strCache>
                <c:ptCount val="1"/>
                <c:pt idx="0">
                  <c:v>Status quo - % YoY</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charts'!$F$124:$Q$124</c:f>
              <c:numCache>
                <c:formatCode>0.0%</c:formatCode>
                <c:ptCount val="12"/>
                <c:pt idx="0">
                  <c:v>4.3715846994536456E-3</c:v>
                </c:pt>
                <c:pt idx="1">
                  <c:v>0.12354616388612927</c:v>
                </c:pt>
                <c:pt idx="2">
                  <c:v>8.6393176916200076E-2</c:v>
                </c:pt>
                <c:pt idx="3">
                  <c:v>7.729848191211719E-2</c:v>
                </c:pt>
                <c:pt idx="4">
                  <c:v>6.8161737088068275E-2</c:v>
                </c:pt>
                <c:pt idx="5">
                  <c:v>5.0040312004736354E-2</c:v>
                </c:pt>
                <c:pt idx="6">
                  <c:v>4.9868353128219356E-2</c:v>
                </c:pt>
                <c:pt idx="7">
                  <c:v>4.969084762586129E-2</c:v>
                </c:pt>
                <c:pt idx="8">
                  <c:v>4.9508710658970001E-2</c:v>
                </c:pt>
                <c:pt idx="9">
                  <c:v>4.8873923757564386E-2</c:v>
                </c:pt>
                <c:pt idx="10">
                  <c:v>4.825131791687709E-2</c:v>
                </c:pt>
                <c:pt idx="11">
                  <c:v>4.8071542185289307E-2</c:v>
                </c:pt>
              </c:numCache>
            </c:numRef>
          </c:val>
          <c:smooth val="0"/>
          <c:extLst>
            <c:ext xmlns:c16="http://schemas.microsoft.com/office/drawing/2014/chart" uri="{C3380CC4-5D6E-409C-BE32-E72D297353CC}">
              <c16:uniqueId val="{00000000-D3C9-41D6-8525-DF12E2343846}"/>
            </c:ext>
          </c:extLst>
        </c:ser>
        <c:ser>
          <c:idx val="0"/>
          <c:order val="1"/>
          <c:tx>
            <c:strRef>
              <c:f>'Initiation charts'!$C$127</c:f>
              <c:strCache>
                <c:ptCount val="1"/>
                <c:pt idx="0">
                  <c:v>2 more Uklons, net - % YoY</c:v>
                </c:pt>
              </c:strCache>
            </c:strRef>
          </c:tx>
          <c:spPr>
            <a:ln w="28575" cap="rnd">
              <a:solidFill>
                <a:srgbClr val="F9663E"/>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charts'!$F$101:$Q$101</c:f>
              <c:numCache>
                <c:formatCode>####"E"</c:formatCode>
                <c:ptCount val="12"/>
                <c:pt idx="0" formatCode="General">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'Initiation charts'!$F$127:$Q$127</c:f>
              <c:numCache>
                <c:formatCode>0.0%</c:formatCode>
                <c:ptCount val="12"/>
                <c:pt idx="0">
                  <c:v>4.3715846994536456E-3</c:v>
                </c:pt>
                <c:pt idx="1">
                  <c:v>0.12354616388612927</c:v>
                </c:pt>
                <c:pt idx="2">
                  <c:v>0.30129576236221123</c:v>
                </c:pt>
                <c:pt idx="3">
                  <c:v>9.5407589269743465E-2</c:v>
                </c:pt>
                <c:pt idx="4">
                  <c:v>8.2250196649008345E-2</c:v>
                </c:pt>
                <c:pt idx="5">
                  <c:v>6.2441465247655259E-2</c:v>
                </c:pt>
                <c:pt idx="6">
                  <c:v>5.7598809489297631E-2</c:v>
                </c:pt>
                <c:pt idx="7">
                  <c:v>5.7527962459455129E-2</c:v>
                </c:pt>
                <c:pt idx="8">
                  <c:v>5.7454340757550071E-2</c:v>
                </c:pt>
                <c:pt idx="9">
                  <c:v>5.7027203913433633E-2</c:v>
                </c:pt>
                <c:pt idx="10">
                  <c:v>5.6618806068064798E-2</c:v>
                </c:pt>
                <c:pt idx="11">
                  <c:v>5.6561147141809265E-2</c:v>
                </c:pt>
              </c:numCache>
            </c:numRef>
          </c:val>
          <c:smooth val="0"/>
          <c:extLst>
            <c:ext xmlns:c16="http://schemas.microsoft.com/office/drawing/2014/chart" uri="{C3380CC4-5D6E-409C-BE32-E72D297353CC}">
              <c16:uniqueId val="{00000000-96AF-4D4E-A9CA-D5AA75EDF64E}"/>
            </c:ext>
          </c:extLst>
        </c:ser>
        <c:dLbls>
          <c:showLegendKey val="0"/>
          <c:showVal val="1"/>
          <c:showCatName val="0"/>
          <c:showSerName val="0"/>
          <c:showPercent val="0"/>
          <c:showBubbleSize val="0"/>
        </c:dLbls>
        <c:smooth val="0"/>
        <c:axId val="1495160607"/>
        <c:axId val="1495161855"/>
        <c:extLst>
          <c:ext xmlns:c15="http://schemas.microsoft.com/office/drawing/2012/chart" uri="{02D57815-91ED-43cb-92C2-25804820EDAC}">
            <c15:filteredLineSeries>
              <c15:ser>
                <c:idx val="2"/>
                <c:order val="2"/>
                <c:tx>
                  <c:strRef>
                    <c:extLst>
                      <c:ext uri="{02D57815-91ED-43cb-92C2-25804820EDAC}">
                        <c15:formulaRef>
                          <c15:sqref>'Initiation charts'!$C$132</c15:sqref>
                        </c15:formulaRef>
                      </c:ext>
                    </c:extLst>
                    <c:strCache>
                      <c:ptCount val="1"/>
                      <c:pt idx="0">
                        <c:v>2 more Uklons, gross - % YoY</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'Initiation charts'!$F$132:$Q$132</c15:sqref>
                        </c15:formulaRef>
                      </c:ext>
                    </c:extLst>
                    <c:numCache>
                      <c:formatCode>0.0%</c:formatCode>
                      <c:ptCount val="12"/>
                      <c:pt idx="0">
                        <c:v>1.1201578009939928E-2</c:v>
                      </c:pt>
                      <c:pt idx="1">
                        <c:v>0.12933275008739442</c:v>
                      </c:pt>
                      <c:pt idx="2">
                        <c:v>0.30108326659721274</c:v>
                      </c:pt>
                      <c:pt idx="3">
                        <c:v>9.8574985517700719E-2</c:v>
                      </c:pt>
                      <c:pt idx="4">
                        <c:v>8.5422744530912142E-2</c:v>
                      </c:pt>
                      <c:pt idx="5">
                        <c:v>6.5816490347731182E-2</c:v>
                      </c:pt>
                      <c:pt idx="6">
                        <c:v>6.0841323056492147E-2</c:v>
                      </c:pt>
                      <c:pt idx="7">
                        <c:v>6.0460521587149874E-2</c:v>
                      </c:pt>
                      <c:pt idx="8">
                        <c:v>6.0025557673371699E-2</c:v>
                      </c:pt>
                      <c:pt idx="9">
                        <c:v>5.9216257781938397E-2</c:v>
                      </c:pt>
                      <c:pt idx="10">
                        <c:v>5.8409420285431946E-2</c:v>
                      </c:pt>
                      <c:pt idx="11">
                        <c:v>5.7937120613199333E-2</c:v>
                      </c:pt>
                    </c:numCache>
                  </c:numRef>
                </c:val>
                <c:smooth val="0"/>
                <c:extLst>
                  <c:ext xmlns:c16="http://schemas.microsoft.com/office/drawing/2014/chart" uri="{C3380CC4-5D6E-409C-BE32-E72D297353CC}">
                    <c16:uniqueId val="{00000000-BC1E-4FE9-9AE3-8C53908D8F12}"/>
                  </c:ext>
                </c:extLst>
              </c15:ser>
            </c15:filteredLineSeries>
          </c:ext>
        </c:extLst>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'Initiation charts'!$C$162</c:f>
              <c:strCache>
                <c:ptCount val="1"/>
                <c:pt idx="0">
                  <c:v>Digital revenue as % of sales - Net basis for KyivstarTV</c:v>
                </c:pt>
              </c:strCache>
            </c:strRef>
          </c:tx>
          <c:spPr>
            <a:solidFill>
              <a:srgbClr val="263238"/>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charts'!$D$161:$G$161</c:f>
              <c:numCache>
                <c:formatCode>General</c:formatCode>
                <c:ptCount val="4"/>
                <c:pt idx="0">
                  <c:v>2023</c:v>
                </c:pt>
                <c:pt idx="1">
                  <c:v>2024</c:v>
                </c:pt>
                <c:pt idx="2" formatCode="####&quot;E&quot;">
                  <c:v>2025</c:v>
                </c:pt>
                <c:pt idx="3" formatCode="####&quot;E&quot;">
                  <c:v>2026</c:v>
                </c:pt>
              </c:numCache>
            </c:numRef>
          </c:cat>
          <c:val>
            <c:numRef>
              <c:f>'Initiation charts'!$D$162:$G$162</c:f>
              <c:numCache>
                <c:formatCode>0.0%</c:formatCode>
                <c:ptCount val="4"/>
                <c:pt idx="0">
                  <c:v>1.1834478677765973E-2</c:v>
                </c:pt>
                <c:pt idx="1">
                  <c:v>2.384368944244784E-2</c:v>
                </c:pt>
                <c:pt idx="2">
                  <c:v>0.10872400614093583</c:v>
                </c:pt>
                <c:pt idx="3">
                  <c:v>0.14723741103152396</c:v>
                </c:pt>
              </c:numCache>
            </c:numRef>
          </c:val>
          <c:extLst>
            <c:ext xmlns:c16="http://schemas.microsoft.com/office/drawing/2014/chart" uri="{C3380CC4-5D6E-409C-BE32-E72D297353CC}">
              <c16:uniqueId val="{00000002-3847-4986-8373-DD0E19E8F0E7}"/>
            </c:ext>
          </c:extLst>
        </c:ser>
        <c:ser>
          <c:idx val="0"/>
          <c:order val="1"/>
          <c:tx>
            <c:strRef>
              <c:f>'Initiation charts'!$C$163</c:f>
              <c:strCache>
                <c:ptCount val="1"/>
                <c:pt idx="0">
                  <c:v>Digital revenue as % of sales - Gross basis for KyivstarTV</c:v>
                </c:pt>
              </c:strCache>
            </c:strRef>
          </c:tx>
          <c:spPr>
            <a:solidFill>
              <a:srgbClr val="799098"/>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charts'!$D$163:$G$163</c:f>
              <c:numCache>
                <c:formatCode>0.0%</c:formatCode>
                <c:ptCount val="4"/>
                <c:pt idx="0">
                  <c:v>2.0451822285587135E-2</c:v>
                </c:pt>
                <c:pt idx="1">
                  <c:v>3.8972157003285698E-2</c:v>
                </c:pt>
                <c:pt idx="2">
                  <c:v>0.12734629733814881</c:v>
                </c:pt>
                <c:pt idx="3">
                  <c:v>0.16834209903357752</c:v>
                </c:pt>
              </c:numCache>
            </c:numRef>
          </c:val>
          <c:extLst>
            <c:ext xmlns:c16="http://schemas.microsoft.com/office/drawing/2014/chart" uri="{C3380CC4-5D6E-409C-BE32-E72D297353CC}">
              <c16:uniqueId val="{00000000-8771-46EC-833E-FBFDF3A735EA}"/>
            </c:ext>
          </c:extLst>
        </c:ser>
        <c:dLbls>
          <c:dLblPos val="inEnd"/>
          <c:showLegendKey val="0"/>
          <c:showVal val="1"/>
          <c:showCatName val="0"/>
          <c:showSerName val="0"/>
          <c:showPercent val="0"/>
          <c:showBubbleSize val="0"/>
        </c:dLbls>
        <c:gapWidth val="200"/>
        <c:overlap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extLst/>
  </c:chart>
  <c:spPr>
    <a:noFill/>
    <a:ln w="9525" cap="flat" cmpd="sng" algn="ctr">
      <a:noFill/>
      <a:round/>
    </a:ln>
    <a:effec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099759405074367"/>
          <c:y val="5.0925925925925923E-2"/>
          <c:w val="0.83957392825896759"/>
          <c:h val="0.65861986001749784"/>
        </c:manualLayout>
      </c:layout>
      <c:barChart>
        <c:barDir val="col"/>
        <c:grouping val="clustered"/>
        <c:varyColors val="0"/>
        <c:ser>
          <c:idx val="0"/>
          <c:order val="0"/>
          <c:tx>
            <c:strRef>
              <c:f>'Initiation charts'!$C$186</c:f>
              <c:strCache>
                <c:ptCount val="1"/>
                <c:pt idx="0">
                  <c:v>Revenue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charts'!$K$186:$W$186</c:f>
              <c:numCache>
                <c:formatCode>#,##0;\(#,##0\);"--"_)</c:formatCode>
                <c:ptCount val="13"/>
                <c:pt idx="0">
                  <c:v>915</c:v>
                </c:pt>
                <c:pt idx="1">
                  <c:v>919</c:v>
                </c:pt>
                <c:pt idx="2">
                  <c:v>1032.5389246113527</c:v>
                </c:pt>
                <c:pt idx="3">
                  <c:v>1121.7432425981642</c:v>
                </c:pt>
                <c:pt idx="4">
                  <c:v>1208.4522923461782</c:v>
                </c:pt>
                <c:pt idx="5">
                  <c:v>1290.8224997805519</c:v>
                </c:pt>
                <c:pt idx="6">
                  <c:v>1355.4156604123045</c:v>
                </c:pt>
                <c:pt idx="7">
                  <c:v>1423.008007201264</c:v>
                </c:pt>
                <c:pt idx="8">
                  <c:v>1493.7184812574826</c:v>
                </c:pt>
                <c:pt idx="9">
                  <c:v>1567.6705573520155</c:v>
                </c:pt>
                <c:pt idx="10">
                  <c:v>1644.2887686490164</c:v>
                </c:pt>
                <c:pt idx="11">
                  <c:v>1723.6278687722504</c:v>
                </c:pt>
                <c:pt idx="12">
                  <c:v>1806.485318577676</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charts'!$C$187</c:f>
              <c:strCache>
                <c:ptCount val="1"/>
                <c:pt idx="0">
                  <c:v>USD growth</c:v>
                </c:pt>
              </c:strCache>
            </c:strRef>
          </c:tx>
          <c:spPr>
            <a:ln w="28575" cap="rnd">
              <a:solidFill>
                <a:srgbClr val="F9663E"/>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charts'!$K$187:$W$187</c:f>
              <c:numCache>
                <c:formatCode>0.0%</c:formatCode>
                <c:ptCount val="13"/>
                <c:pt idx="1">
                  <c:v>4.3715846994536456E-3</c:v>
                </c:pt>
                <c:pt idx="2">
                  <c:v>0.12354616388612927</c:v>
                </c:pt>
                <c:pt idx="3">
                  <c:v>8.6393176916200076E-2</c:v>
                </c:pt>
                <c:pt idx="4">
                  <c:v>7.729848191211719E-2</c:v>
                </c:pt>
                <c:pt idx="5">
                  <c:v>6.8161737088068275E-2</c:v>
                </c:pt>
                <c:pt idx="6">
                  <c:v>5.0040312004736354E-2</c:v>
                </c:pt>
                <c:pt idx="7">
                  <c:v>4.9868353128219356E-2</c:v>
                </c:pt>
                <c:pt idx="8">
                  <c:v>4.969084762586129E-2</c:v>
                </c:pt>
                <c:pt idx="9">
                  <c:v>4.9508710658970001E-2</c:v>
                </c:pt>
                <c:pt idx="10">
                  <c:v>4.8873923757564386E-2</c:v>
                </c:pt>
                <c:pt idx="11">
                  <c:v>4.825131791687709E-2</c:v>
                </c:pt>
                <c:pt idx="12">
                  <c:v>4.8071542185289307E-2</c:v>
                </c:pt>
              </c:numCache>
            </c:numRef>
          </c:val>
          <c:smooth val="0"/>
          <c:extLst>
            <c:ext xmlns:c16="http://schemas.microsoft.com/office/drawing/2014/chart" uri="{C3380CC4-5D6E-409C-BE32-E72D297353CC}">
              <c16:uniqueId val="{00000002-3847-4986-8373-DD0E19E8F0E7}"/>
            </c:ext>
          </c:extLst>
        </c:ser>
        <c:ser>
          <c:idx val="2"/>
          <c:order val="2"/>
          <c:tx>
            <c:strRef>
              <c:f>'Initiation charts'!$C$188</c:f>
              <c:strCache>
                <c:ptCount val="1"/>
                <c:pt idx="0">
                  <c:v>LLC growth</c:v>
                </c:pt>
              </c:strCache>
            </c:strRef>
          </c:tx>
          <c:spPr>
            <a:ln w="28575" cap="rnd">
              <a:solidFill>
                <a:srgbClr val="799098"/>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charts'!$K$188:$W$188</c:f>
              <c:numCache>
                <c:formatCode>0.0%</c:formatCode>
                <c:ptCount val="13"/>
                <c:pt idx="1">
                  <c:v>0.1029686311602418</c:v>
                </c:pt>
                <c:pt idx="2">
                  <c:v>0.17036058738138449</c:v>
                </c:pt>
                <c:pt idx="3">
                  <c:v>0.13165955928770834</c:v>
                </c:pt>
                <c:pt idx="4">
                  <c:v>0.12218591865845574</c:v>
                </c:pt>
                <c:pt idx="5">
                  <c:v>0.11266847613340447</c:v>
                </c:pt>
                <c:pt idx="6">
                  <c:v>9.379199167160035E-2</c:v>
                </c:pt>
                <c:pt idx="7">
                  <c:v>9.3612867841895264E-2</c:v>
                </c:pt>
                <c:pt idx="8">
                  <c:v>9.3427966276939056E-2</c:v>
                </c:pt>
                <c:pt idx="9">
                  <c:v>9.3238240269760242E-2</c:v>
                </c:pt>
                <c:pt idx="10">
                  <c:v>9.2577003914129596E-2</c:v>
                </c:pt>
                <c:pt idx="11">
                  <c:v>9.1928456163413719E-2</c:v>
                </c:pt>
                <c:pt idx="12">
                  <c:v>9.1741189776342935E-2</c:v>
                </c:pt>
              </c:numCache>
            </c:numRef>
          </c:val>
          <c:smooth val="0"/>
          <c:extLst>
            <c:ext xmlns:c16="http://schemas.microsoft.com/office/drawing/2014/chart" uri="{C3380CC4-5D6E-409C-BE32-E72D297353CC}">
              <c16:uniqueId val="{00000000-E638-4AD1-ACD8-CDBCE0C77340}"/>
            </c:ext>
          </c:extLst>
        </c:ser>
        <c:dLbls>
          <c:showLegendKey val="0"/>
          <c:showVal val="0"/>
          <c:showCatName val="0"/>
          <c:showSerName val="0"/>
          <c:showPercent val="0"/>
          <c:showBubbleSize val="0"/>
        </c:dLbls>
        <c:marker val="1"/>
        <c:smooth val="0"/>
        <c:axId val="1972219247"/>
        <c:axId val="1972212527"/>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97221252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219247"/>
        <c:crosses val="max"/>
        <c:crossBetween val="between"/>
      </c:valAx>
      <c:catAx>
        <c:axId val="1972219247"/>
        <c:scaling>
          <c:orientation val="minMax"/>
        </c:scaling>
        <c:delete val="1"/>
        <c:axPos val="b"/>
        <c:numFmt formatCode="General" sourceLinked="1"/>
        <c:majorTickMark val="out"/>
        <c:minorTickMark val="none"/>
        <c:tickLblPos val="nextTo"/>
        <c:crossAx val="197221252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099759405074367"/>
          <c:y val="5.0925925925925923E-2"/>
          <c:w val="0.83957392825896759"/>
          <c:h val="0.65861986001749784"/>
        </c:manualLayout>
      </c:layout>
      <c:barChart>
        <c:barDir val="col"/>
        <c:grouping val="clustered"/>
        <c:varyColors val="0"/>
        <c:ser>
          <c:idx val="0"/>
          <c:order val="0"/>
          <c:tx>
            <c:strRef>
              <c:f>'Initiation charts'!$C$194</c:f>
              <c:strCache>
                <c:ptCount val="1"/>
                <c:pt idx="0">
                  <c:v>EBITDA</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charts'!$K$194:$W$194</c:f>
              <c:numCache>
                <c:formatCode>#,##0;\(#,##0\);"--"_)</c:formatCode>
                <c:ptCount val="13"/>
                <c:pt idx="0">
                  <c:v>538</c:v>
                </c:pt>
                <c:pt idx="1">
                  <c:v>515</c:v>
                </c:pt>
                <c:pt idx="2">
                  <c:v>547.65010666301589</c:v>
                </c:pt>
                <c:pt idx="3">
                  <c:v>578.13719057715707</c:v>
                </c:pt>
                <c:pt idx="4">
                  <c:v>604.69953336051503</c:v>
                </c:pt>
                <c:pt idx="5">
                  <c:v>633.00867897290664</c:v>
                </c:pt>
                <c:pt idx="6">
                  <c:v>656.55213680794304</c:v>
                </c:pt>
                <c:pt idx="7">
                  <c:v>683.6012785845636</c:v>
                </c:pt>
                <c:pt idx="8">
                  <c:v>717.57000555555305</c:v>
                </c:pt>
                <c:pt idx="9">
                  <c:v>753.09597133815851</c:v>
                </c:pt>
                <c:pt idx="10">
                  <c:v>789.90272642346849</c:v>
                </c:pt>
                <c:pt idx="11">
                  <c:v>828.01657399953524</c:v>
                </c:pt>
                <c:pt idx="12">
                  <c:v>867.82060766667269</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charts'!$C$195</c:f>
              <c:strCache>
                <c:ptCount val="1"/>
                <c:pt idx="0">
                  <c:v>USD growth</c:v>
                </c:pt>
              </c:strCache>
            </c:strRef>
          </c:tx>
          <c:spPr>
            <a:ln w="28575" cap="rnd">
              <a:solidFill>
                <a:srgbClr val="F9663E"/>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charts'!$K$195:$W$195</c:f>
              <c:numCache>
                <c:formatCode>0.0%</c:formatCode>
                <c:ptCount val="13"/>
                <c:pt idx="1">
                  <c:v>-4.2750929368029711E-2</c:v>
                </c:pt>
                <c:pt idx="2">
                  <c:v>6.3398265365079309E-2</c:v>
                </c:pt>
                <c:pt idx="3">
                  <c:v>5.5668908931484351E-2</c:v>
                </c:pt>
                <c:pt idx="4">
                  <c:v>4.5944705195043234E-2</c:v>
                </c:pt>
                <c:pt idx="5">
                  <c:v>4.6815226489539841E-2</c:v>
                </c:pt>
                <c:pt idx="6">
                  <c:v>3.7192946348282296E-2</c:v>
                </c:pt>
                <c:pt idx="7">
                  <c:v>4.1198771978915971E-2</c:v>
                </c:pt>
                <c:pt idx="8">
                  <c:v>4.969084762586129E-2</c:v>
                </c:pt>
                <c:pt idx="9">
                  <c:v>4.9508710658970223E-2</c:v>
                </c:pt>
                <c:pt idx="10">
                  <c:v>4.8873923757564386E-2</c:v>
                </c:pt>
                <c:pt idx="11">
                  <c:v>4.825131791687709E-2</c:v>
                </c:pt>
                <c:pt idx="12">
                  <c:v>4.8071542185289307E-2</c:v>
                </c:pt>
              </c:numCache>
            </c:numRef>
          </c:val>
          <c:smooth val="0"/>
          <c:extLst>
            <c:ext xmlns:c16="http://schemas.microsoft.com/office/drawing/2014/chart" uri="{C3380CC4-5D6E-409C-BE32-E72D297353CC}">
              <c16:uniqueId val="{00000002-3847-4986-8373-DD0E19E8F0E7}"/>
            </c:ext>
          </c:extLst>
        </c:ser>
        <c:ser>
          <c:idx val="2"/>
          <c:order val="2"/>
          <c:tx>
            <c:strRef>
              <c:f>'Initiation charts'!$C$196</c:f>
              <c:strCache>
                <c:ptCount val="1"/>
                <c:pt idx="0">
                  <c:v>LLC growth</c:v>
                </c:pt>
              </c:strCache>
            </c:strRef>
          </c:tx>
          <c:spPr>
            <a:ln w="28575" cap="rnd">
              <a:solidFill>
                <a:srgbClr val="799098"/>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charts'!$K$196:$W$196</c:f>
              <c:numCache>
                <c:formatCode>0.0%</c:formatCode>
                <c:ptCount val="13"/>
                <c:pt idx="1">
                  <c:v>5.1220198976754672E-2</c:v>
                </c:pt>
                <c:pt idx="2">
                  <c:v>0.10770652642195744</c:v>
                </c:pt>
                <c:pt idx="3">
                  <c:v>9.9655113470296319E-2</c:v>
                </c:pt>
                <c:pt idx="4">
                  <c:v>8.9525734578170368E-2</c:v>
                </c:pt>
                <c:pt idx="5">
                  <c:v>9.0432527593270695E-2</c:v>
                </c:pt>
                <c:pt idx="6">
                  <c:v>8.0409319112794142E-2</c:v>
                </c:pt>
                <c:pt idx="7">
                  <c:v>8.4582054144704211E-2</c:v>
                </c:pt>
                <c:pt idx="8">
                  <c:v>9.3427966276939056E-2</c:v>
                </c:pt>
                <c:pt idx="9">
                  <c:v>9.3238240269760464E-2</c:v>
                </c:pt>
                <c:pt idx="10">
                  <c:v>9.2577003914129596E-2</c:v>
                </c:pt>
                <c:pt idx="11">
                  <c:v>9.1928456163413719E-2</c:v>
                </c:pt>
                <c:pt idx="12">
                  <c:v>9.1741189776342935E-2</c:v>
                </c:pt>
              </c:numCache>
            </c:numRef>
          </c:val>
          <c:smooth val="0"/>
          <c:extLst>
            <c:ext xmlns:c16="http://schemas.microsoft.com/office/drawing/2014/chart" uri="{C3380CC4-5D6E-409C-BE32-E72D297353CC}">
              <c16:uniqueId val="{00000000-E9AE-4F9F-BA36-B8D26A9C7810}"/>
            </c:ext>
          </c:extLst>
        </c:ser>
        <c:dLbls>
          <c:showLegendKey val="0"/>
          <c:showVal val="0"/>
          <c:showCatName val="0"/>
          <c:showSerName val="0"/>
          <c:showPercent val="0"/>
          <c:showBubbleSize val="0"/>
        </c:dLbls>
        <c:marker val="1"/>
        <c:smooth val="0"/>
        <c:axId val="1972219247"/>
        <c:axId val="1972212527"/>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97221252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219247"/>
        <c:crosses val="max"/>
        <c:crossBetween val="between"/>
      </c:valAx>
      <c:catAx>
        <c:axId val="1972219247"/>
        <c:scaling>
          <c:orientation val="minMax"/>
        </c:scaling>
        <c:delete val="1"/>
        <c:axPos val="b"/>
        <c:numFmt formatCode="General" sourceLinked="1"/>
        <c:majorTickMark val="out"/>
        <c:minorTickMark val="none"/>
        <c:tickLblPos val="nextTo"/>
        <c:crossAx val="197221252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'Initiation charts'!$C$184</c:f>
              <c:strCache>
                <c:ptCount val="1"/>
                <c:pt idx="0">
                  <c:v>Core telco</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charts'!$K$184:$W$184</c:f>
              <c:numCache>
                <c:formatCode>#,##0;\(#,##0\);"--"_)</c:formatCode>
                <c:ptCount val="13"/>
                <c:pt idx="0">
                  <c:v>900.17145200984419</c:v>
                </c:pt>
                <c:pt idx="1">
                  <c:v>893.08764940239041</c:v>
                </c:pt>
                <c:pt idx="2">
                  <c:v>916.42855065346339</c:v>
                </c:pt>
                <c:pt idx="3">
                  <c:v>952.88601036132206</c:v>
                </c:pt>
                <c:pt idx="4">
                  <c:v>999.88707579763411</c:v>
                </c:pt>
                <c:pt idx="5">
                  <c:v>1044.2156132668035</c:v>
                </c:pt>
                <c:pt idx="6">
                  <c:v>1074.644902104945</c:v>
                </c:pt>
                <c:pt idx="7">
                  <c:v>1113.3866532745405</c:v>
                </c:pt>
                <c:pt idx="8">
                  <c:v>1156.9941686709167</c:v>
                </c:pt>
                <c:pt idx="9">
                  <c:v>1205.1654511171964</c:v>
                </c:pt>
                <c:pt idx="10">
                  <c:v>1255.1370143789102</c:v>
                </c:pt>
                <c:pt idx="11">
                  <c:v>1306.8904510081438</c:v>
                </c:pt>
                <c:pt idx="12">
                  <c:v>1361.1247876667258</c:v>
                </c:pt>
              </c:numCache>
            </c:numRef>
          </c:val>
          <c:extLst>
            <c:ext xmlns:c16="http://schemas.microsoft.com/office/drawing/2014/chart" uri="{C3380CC4-5D6E-409C-BE32-E72D297353CC}">
              <c16:uniqueId val="{00000000-3AC6-476A-8876-8B65B738C694}"/>
            </c:ext>
          </c:extLst>
        </c:ser>
        <c:ser>
          <c:idx val="1"/>
          <c:order val="1"/>
          <c:tx>
            <c:strRef>
              <c:f>'Initiation charts'!$C$185</c:f>
              <c:strCache>
                <c:ptCount val="1"/>
                <c:pt idx="0">
                  <c:v>Digital revenue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charts'!$K$185:$W$185</c:f>
              <c:numCache>
                <c:formatCode>#,##0;\(#,##0\);"--"_)</c:formatCode>
                <c:ptCount val="13"/>
                <c:pt idx="0">
                  <c:v>10.828547990155865</c:v>
                </c:pt>
                <c:pt idx="1">
                  <c:v>21.912350597609564</c:v>
                </c:pt>
                <c:pt idx="2">
                  <c:v>112.26176838019997</c:v>
                </c:pt>
                <c:pt idx="3">
                  <c:v>165.16257088226038</c:v>
                </c:pt>
                <c:pt idx="4">
                  <c:v>205.01834164814557</c:v>
                </c:pt>
                <c:pt idx="5">
                  <c:v>243.20188660936589</c:v>
                </c:pt>
                <c:pt idx="6">
                  <c:v>277.50195839915222</c:v>
                </c:pt>
                <c:pt idx="7">
                  <c:v>306.48330601484474</c:v>
                </c:pt>
                <c:pt idx="8">
                  <c:v>333.71178659116242</c:v>
                </c:pt>
                <c:pt idx="9">
                  <c:v>359.61308127923144</c:v>
                </c:pt>
                <c:pt idx="10">
                  <c:v>386.37541031274208</c:v>
                </c:pt>
                <c:pt idx="11">
                  <c:v>414.07212756503702</c:v>
                </c:pt>
                <c:pt idx="12">
                  <c:v>442.8018523198437</c:v>
                </c:pt>
              </c:numCache>
            </c:numRef>
          </c:val>
          <c:extLst>
            <c:ext xmlns:c16="http://schemas.microsoft.com/office/drawing/2014/chart" uri="{C3380CC4-5D6E-409C-BE32-E72D297353CC}">
              <c16:uniqueId val="{00000001-3AC6-476A-8876-8B65B738C694}"/>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2"/>
          <c:order val="2"/>
          <c:tx>
            <c:strRef>
              <c:f>'Initiation charts'!$C$191</c:f>
              <c:strCache>
                <c:ptCount val="1"/>
                <c:pt idx="0">
                  <c:v>Core telco - % YoY</c:v>
                </c:pt>
              </c:strCache>
            </c:strRef>
          </c:tx>
          <c:spPr>
            <a:ln w="28575" cap="rnd">
              <a:solidFill>
                <a:schemeClr val="accent3"/>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charts'!$K$191:$W$191</c:f>
              <c:numCache>
                <c:formatCode>0.0%</c:formatCode>
                <c:ptCount val="13"/>
                <c:pt idx="1">
                  <c:v>-7.8693926491865129E-3</c:v>
                </c:pt>
                <c:pt idx="2">
                  <c:v>2.6135062181961155E-2</c:v>
                </c:pt>
                <c:pt idx="3">
                  <c:v>3.9782108143469053E-2</c:v>
                </c:pt>
                <c:pt idx="4">
                  <c:v>4.932496114460716E-2</c:v>
                </c:pt>
                <c:pt idx="5">
                  <c:v>4.4333543799240926E-2</c:v>
                </c:pt>
                <c:pt idx="6">
                  <c:v>2.9140810050660049E-2</c:v>
                </c:pt>
                <c:pt idx="7">
                  <c:v>3.6050746710574622E-2</c:v>
                </c:pt>
                <c:pt idx="8">
                  <c:v>3.9166551231886615E-2</c:v>
                </c:pt>
                <c:pt idx="9">
                  <c:v>4.1634853269499228E-2</c:v>
                </c:pt>
                <c:pt idx="10">
                  <c:v>4.1464483748177239E-2</c:v>
                </c:pt>
                <c:pt idx="11">
                  <c:v>4.1233296473885961E-2</c:v>
                </c:pt>
                <c:pt idx="12">
                  <c:v>4.1498762667326217E-2</c:v>
                </c:pt>
              </c:numCache>
            </c:numRef>
          </c:val>
          <c:smooth val="0"/>
          <c:extLst>
            <c:ext xmlns:c16="http://schemas.microsoft.com/office/drawing/2014/chart" uri="{C3380CC4-5D6E-409C-BE32-E72D297353CC}">
              <c16:uniqueId val="{0000000D-53BB-4228-9878-B8399FD6A264}"/>
            </c:ext>
          </c:extLst>
        </c:ser>
        <c:ser>
          <c:idx val="3"/>
          <c:order val="3"/>
          <c:tx>
            <c:strRef>
              <c:f>'Initiation charts'!$C$192</c:f>
              <c:strCache>
                <c:ptCount val="1"/>
                <c:pt idx="0">
                  <c:v>Digital - % YoY</c:v>
                </c:pt>
              </c:strCache>
            </c:strRef>
          </c:tx>
          <c:spPr>
            <a:ln w="28575" cap="rnd">
              <a:solidFill>
                <a:srgbClr val="799098"/>
              </a:solidFill>
              <a:prstDash val="dash"/>
              <a:round/>
            </a:ln>
            <a:effectLst/>
          </c:spPr>
          <c:marker>
            <c:symbol val="none"/>
          </c:marker>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charts'!$K$192:$W$192</c:f>
              <c:numCache>
                <c:formatCode>0.0%</c:formatCode>
                <c:ptCount val="13"/>
                <c:pt idx="1">
                  <c:v>1.0235723771580347</c:v>
                </c:pt>
                <c:pt idx="2">
                  <c:v>4.1232188842600346</c:v>
                </c:pt>
                <c:pt idx="3">
                  <c:v>0.47122723314761839</c:v>
                </c:pt>
                <c:pt idx="4">
                  <c:v>0.24131236607050166</c:v>
                </c:pt>
                <c:pt idx="5">
                  <c:v>0.18624453136369268</c:v>
                </c:pt>
                <c:pt idx="6">
                  <c:v>0.14103538532527726</c:v>
                </c:pt>
                <c:pt idx="7">
                  <c:v>0.10443655166572352</c:v>
                </c:pt>
                <c:pt idx="8">
                  <c:v>8.8841643384644398E-2</c:v>
                </c:pt>
                <c:pt idx="9">
                  <c:v>7.7615762249959808E-2</c:v>
                </c:pt>
                <c:pt idx="10">
                  <c:v>7.4419787340078036E-2</c:v>
                </c:pt>
                <c:pt idx="11">
                  <c:v>7.1683436660413991E-2</c:v>
                </c:pt>
                <c:pt idx="12">
                  <c:v>6.9383382368073621E-2</c:v>
                </c:pt>
              </c:numCache>
            </c:numRef>
          </c:val>
          <c:smooth val="0"/>
          <c:extLst>
            <c:ext xmlns:c16="http://schemas.microsoft.com/office/drawing/2014/chart" uri="{C3380CC4-5D6E-409C-BE32-E72D297353CC}">
              <c16:uniqueId val="{0000000E-53BB-4228-9878-B8399FD6A264}"/>
            </c:ext>
          </c:extLst>
        </c:ser>
        <c:dLbls>
          <c:showLegendKey val="0"/>
          <c:showVal val="0"/>
          <c:showCatName val="0"/>
          <c:showSerName val="0"/>
          <c:showPercent val="0"/>
          <c:showBubbleSize val="0"/>
        </c:dLbls>
        <c:marker val="1"/>
        <c:smooth val="0"/>
        <c:axId val="2014717695"/>
        <c:axId val="201471721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014717215"/>
        <c:scaling>
          <c:orientation val="minMax"/>
          <c:max val="1"/>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717695"/>
        <c:crosses val="max"/>
        <c:crossBetween val="between"/>
      </c:valAx>
      <c:catAx>
        <c:axId val="2014717695"/>
        <c:scaling>
          <c:orientation val="minMax"/>
        </c:scaling>
        <c:delete val="1"/>
        <c:axPos val="b"/>
        <c:numFmt formatCode="General" sourceLinked="1"/>
        <c:majorTickMark val="out"/>
        <c:minorTickMark val="none"/>
        <c:tickLblPos val="nextTo"/>
        <c:crossAx val="201471721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charts'!$C$203</c:f>
              <c:strCache>
                <c:ptCount val="1"/>
                <c:pt idx="0">
                  <c:v>Capex ex. ROU and license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charts'!$K$203:$W$203</c:f>
              <c:numCache>
                <c:formatCode>#,##0;\(#,##0\);"--"_)</c:formatCode>
                <c:ptCount val="13"/>
                <c:pt idx="0">
                  <c:v>155</c:v>
                </c:pt>
                <c:pt idx="1">
                  <c:v>221</c:v>
                </c:pt>
                <c:pt idx="2">
                  <c:v>238.39886056849463</c:v>
                </c:pt>
                <c:pt idx="3">
                  <c:v>255.16108948720267</c:v>
                </c:pt>
                <c:pt idx="4">
                  <c:v>270.75450094338424</c:v>
                </c:pt>
                <c:pt idx="5">
                  <c:v>280.38625438271231</c:v>
                </c:pt>
                <c:pt idx="6">
                  <c:v>285.15200349433542</c:v>
                </c:pt>
                <c:pt idx="7">
                  <c:v>289.64517412400414</c:v>
                </c:pt>
                <c:pt idx="8">
                  <c:v>293.8276607435605</c:v>
                </c:pt>
                <c:pt idx="9">
                  <c:v>297.65896658582574</c:v>
                </c:pt>
                <c:pt idx="10">
                  <c:v>300.96728600841493</c:v>
                </c:pt>
                <c:pt idx="11">
                  <c:v>315.48935420818657</c:v>
                </c:pt>
                <c:pt idx="12">
                  <c:v>330.6554140080151</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charts'!$C$207</c:f>
              <c:strCache>
                <c:ptCount val="1"/>
                <c:pt idx="0">
                  <c:v>Capex/sales</c:v>
                </c:pt>
              </c:strCache>
            </c:strRef>
          </c:tx>
          <c:spPr>
            <a:ln w="28575" cap="rnd">
              <a:solidFill>
                <a:srgbClr val="F9663E"/>
              </a:solidFill>
              <a:prstDash val="dash"/>
              <a:round/>
            </a:ln>
            <a:effectLst/>
          </c:spPr>
          <c:marker>
            <c:symbol val="none"/>
          </c:marker>
          <c:dLbls>
            <c:spPr>
              <a:solidFill>
                <a:srgbClr val="F966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charts'!$K$183:$W$183</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charts'!$K$207:$W$207</c:f>
              <c:numCache>
                <c:formatCode>0.0%</c:formatCode>
                <c:ptCount val="13"/>
                <c:pt idx="0">
                  <c:v>0.16939890710382513</c:v>
                </c:pt>
                <c:pt idx="1">
                  <c:v>0.24047878128400435</c:v>
                </c:pt>
                <c:pt idx="2">
                  <c:v>0.23088607594936711</c:v>
                </c:pt>
                <c:pt idx="3">
                  <c:v>0.22746835443037974</c:v>
                </c:pt>
                <c:pt idx="4">
                  <c:v>0.22405063291139243</c:v>
                </c:pt>
                <c:pt idx="5">
                  <c:v>0.21721518987341773</c:v>
                </c:pt>
                <c:pt idx="6">
                  <c:v>0.210379746835443</c:v>
                </c:pt>
                <c:pt idx="7">
                  <c:v>0.20354430379746838</c:v>
                </c:pt>
                <c:pt idx="8">
                  <c:v>0.19670886075949368</c:v>
                </c:pt>
                <c:pt idx="9">
                  <c:v>0.189873417721519</c:v>
                </c:pt>
                <c:pt idx="10">
                  <c:v>0.18303797468354432</c:v>
                </c:pt>
                <c:pt idx="11">
                  <c:v>0.1830379746835443</c:v>
                </c:pt>
                <c:pt idx="12">
                  <c:v>0.1830379746835443</c:v>
                </c:pt>
              </c:numCache>
            </c:numRef>
          </c:val>
          <c:smooth val="0"/>
          <c:extLst>
            <c:ext xmlns:c16="http://schemas.microsoft.com/office/drawing/2014/chart" uri="{C3380CC4-5D6E-409C-BE32-E72D297353CC}">
              <c16:uniqueId val="{00000002-3847-4986-8373-DD0E19E8F0E7}"/>
            </c:ext>
          </c:extLst>
        </c:ser>
        <c:dLbls>
          <c:showLegendKey val="0"/>
          <c:showVal val="0"/>
          <c:showCatName val="0"/>
          <c:showSerName val="0"/>
          <c:showPercent val="0"/>
          <c:showBubbleSize val="0"/>
        </c:dLbls>
        <c:marker val="1"/>
        <c:smooth val="0"/>
        <c:axId val="2015965407"/>
        <c:axId val="2015975007"/>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015975007"/>
        <c:scaling>
          <c:orientation val="minMax"/>
          <c:max val="0.2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5965407"/>
        <c:crosses val="max"/>
        <c:crossBetween val="between"/>
      </c:valAx>
      <c:catAx>
        <c:axId val="2015965407"/>
        <c:scaling>
          <c:orientation val="minMax"/>
        </c:scaling>
        <c:delete val="1"/>
        <c:axPos val="b"/>
        <c:numFmt formatCode="General" sourceLinked="1"/>
        <c:majorTickMark val="out"/>
        <c:minorTickMark val="none"/>
        <c:tickLblPos val="nextTo"/>
        <c:crossAx val="201597500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31912371121487E-3"/>
          <c:y val="5.6818162264549631E-2"/>
          <c:w val="0.96764829879725545"/>
          <c:h val="0.67771816057824441"/>
        </c:manualLayout>
      </c:layout>
      <c:barChart>
        <c:barDir val="col"/>
        <c:grouping val="clustered"/>
        <c:varyColors val="0"/>
        <c:ser>
          <c:idx val="0"/>
          <c:order val="0"/>
          <c:tx>
            <c:strRef>
              <c:f>'Initiation charts'!$B$240</c:f>
              <c:strCache>
                <c:ptCount val="1"/>
                <c:pt idx="0">
                  <c:v>Base case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charts'!$E$239:$P$239</c:f>
              <c:numCache>
                <c:formatCode>####"E"</c:formatCode>
                <c:ptCount val="12"/>
                <c:pt idx="0" formatCode="General">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'Initiation charts'!$E$240:$P$240</c:f>
              <c:numCache>
                <c:formatCode>0.0%</c:formatCode>
                <c:ptCount val="12"/>
                <c:pt idx="0">
                  <c:v>5.0761391200601455E-2</c:v>
                </c:pt>
                <c:pt idx="1">
                  <c:v>5.8547308436957587E-2</c:v>
                </c:pt>
                <c:pt idx="2">
                  <c:v>6.7799810319065526E-2</c:v>
                </c:pt>
                <c:pt idx="3">
                  <c:v>7.4556254344915807E-2</c:v>
                </c:pt>
                <c:pt idx="4">
                  <c:v>8.2682269312740406E-2</c:v>
                </c:pt>
                <c:pt idx="5">
                  <c:v>9.1218352662501556E-2</c:v>
                </c:pt>
                <c:pt idx="6">
                  <c:v>0.10426391721546054</c:v>
                </c:pt>
                <c:pt idx="7">
                  <c:v>0.11876872893358403</c:v>
                </c:pt>
                <c:pt idx="8">
                  <c:v>0.13611291604516976</c:v>
                </c:pt>
                <c:pt idx="9">
                  <c:v>0.15529714440107717</c:v>
                </c:pt>
                <c:pt idx="10">
                  <c:v>0.17367773364135075</c:v>
                </c:pt>
                <c:pt idx="11">
                  <c:v>0.19290902879466051</c:v>
                </c:pt>
              </c:numCache>
            </c:numRef>
          </c:val>
          <c:extLst>
            <c:ext xmlns:c16="http://schemas.microsoft.com/office/drawing/2014/chart" uri="{C3380CC4-5D6E-409C-BE32-E72D297353CC}">
              <c16:uniqueId val="{00000000-3847-4986-8373-DD0E19E8F0E7}"/>
            </c:ext>
          </c:extLst>
        </c:ser>
        <c:ser>
          <c:idx val="1"/>
          <c:order val="1"/>
          <c:tx>
            <c:strRef>
              <c:f>'Initiation charts'!$B$241</c:f>
              <c:strCache>
                <c:ptCount val="1"/>
                <c:pt idx="0">
                  <c:v>Bull case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charts'!$E$241:$P$241</c:f>
              <c:numCache>
                <c:formatCode>0.0%</c:formatCode>
                <c:ptCount val="12"/>
                <c:pt idx="0">
                  <c:v>5.1953906264045502E-2</c:v>
                </c:pt>
                <c:pt idx="1">
                  <c:v>6.5374123147404831E-2</c:v>
                </c:pt>
                <c:pt idx="2">
                  <c:v>7.8933020161153028E-2</c:v>
                </c:pt>
                <c:pt idx="3">
                  <c:v>8.6292217886720826E-2</c:v>
                </c:pt>
                <c:pt idx="4">
                  <c:v>9.7198943182620234E-2</c:v>
                </c:pt>
                <c:pt idx="5">
                  <c:v>0.11008165987248053</c:v>
                </c:pt>
                <c:pt idx="6">
                  <c:v>0.12624028874477997</c:v>
                </c:pt>
                <c:pt idx="7">
                  <c:v>0.14480805021978158</c:v>
                </c:pt>
                <c:pt idx="8">
                  <c:v>0.16692152724545564</c:v>
                </c:pt>
                <c:pt idx="9">
                  <c:v>0.19157651376601426</c:v>
                </c:pt>
                <c:pt idx="10">
                  <c:v>0.21583880502738328</c:v>
                </c:pt>
                <c:pt idx="11">
                  <c:v>0.24168104221453618</c:v>
                </c:pt>
              </c:numCache>
            </c:numRef>
          </c:val>
          <c:extLst>
            <c:ext xmlns:c16="http://schemas.microsoft.com/office/drawing/2014/chart" uri="{C3380CC4-5D6E-409C-BE32-E72D297353CC}">
              <c16:uniqueId val="{00000000-01B2-48D6-8B02-9ED4E3A52B18}"/>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'Initiation charts'!$C$209</c:f>
              <c:strCache>
                <c:ptCount val="1"/>
                <c:pt idx="0">
                  <c:v>Kyivstar ROIC</c:v>
                </c:pt>
              </c:strCache>
            </c:strRef>
          </c:tx>
          <c:spPr>
            <a:ln w="28575" cap="rnd">
              <a:solidFill>
                <a:srgbClr val="263238"/>
              </a:solidFill>
              <a:round/>
            </a:ln>
            <a:effectLst/>
          </c:spPr>
          <c:marker>
            <c:symbol val="none"/>
          </c:marker>
          <c:dLbls>
            <c:delete val="1"/>
          </c:dLbls>
          <c:cat>
            <c:numRef>
              <c:f>'Initiation charts'!$J$183:$W$183</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charts'!$J$209:$W$209</c:f>
              <c:numCache>
                <c:formatCode>0.0%</c:formatCode>
                <c:ptCount val="14"/>
                <c:pt idx="0">
                  <c:v>0.29980175138321036</c:v>
                </c:pt>
                <c:pt idx="1">
                  <c:v>0.27349541010116801</c:v>
                </c:pt>
                <c:pt idx="2">
                  <c:v>0.24000472411173071</c:v>
                </c:pt>
                <c:pt idx="3">
                  <c:v>0.23149399356031142</c:v>
                </c:pt>
                <c:pt idx="4">
                  <c:v>0.2241230973104644</c:v>
                </c:pt>
                <c:pt idx="5">
                  <c:v>0.20920928290108895</c:v>
                </c:pt>
                <c:pt idx="6">
                  <c:v>0.19440372155098026</c:v>
                </c:pt>
                <c:pt idx="7">
                  <c:v>0.18874742172384282</c:v>
                </c:pt>
                <c:pt idx="8">
                  <c:v>0.1868790928424717</c:v>
                </c:pt>
                <c:pt idx="9">
                  <c:v>0.19012327801196666</c:v>
                </c:pt>
                <c:pt idx="10">
                  <c:v>0.19558747293896259</c:v>
                </c:pt>
                <c:pt idx="11">
                  <c:v>0.20266464923419047</c:v>
                </c:pt>
                <c:pt idx="12">
                  <c:v>0.20144744340367876</c:v>
                </c:pt>
                <c:pt idx="13">
                  <c:v>0.20596240073192296</c:v>
                </c:pt>
              </c:numCache>
            </c:numRef>
          </c:val>
          <c:smooth val="0"/>
          <c:extLst>
            <c:ext xmlns:c16="http://schemas.microsoft.com/office/drawing/2014/chart" uri="{C3380CC4-5D6E-409C-BE32-E72D297353CC}">
              <c16:uniqueId val="{00000000-96AF-4D4E-A9CA-D5AA75EDF64E}"/>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3333333333333333E-2"/>
          <c:y val="3.7037037037037035E-2"/>
          <c:w val="0.93888888888888888"/>
          <c:h val="0.73455016039661714"/>
        </c:manualLayout>
      </c:layout>
      <c:lineChart>
        <c:grouping val="standard"/>
        <c:varyColors val="0"/>
        <c:ser>
          <c:idx val="0"/>
          <c:order val="0"/>
          <c:tx>
            <c:strRef>
              <c:f>'Initiation charts'!$C$209</c:f>
              <c:strCache>
                <c:ptCount val="1"/>
                <c:pt idx="0">
                  <c:v>Kyivstar ROIC</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charts'!$F$183:$L$183</c:f>
              <c:numCache>
                <c:formatCode>General</c:formatCode>
                <c:ptCount val="7"/>
                <c:pt idx="0">
                  <c:v>2018</c:v>
                </c:pt>
                <c:pt idx="1">
                  <c:v>2019</c:v>
                </c:pt>
                <c:pt idx="2">
                  <c:v>2020</c:v>
                </c:pt>
                <c:pt idx="3">
                  <c:v>2021</c:v>
                </c:pt>
                <c:pt idx="4">
                  <c:v>2022</c:v>
                </c:pt>
                <c:pt idx="5">
                  <c:v>2023</c:v>
                </c:pt>
                <c:pt idx="6">
                  <c:v>2024</c:v>
                </c:pt>
              </c:numCache>
            </c:numRef>
          </c:cat>
          <c:val>
            <c:numRef>
              <c:f>'Initiation charts'!$F$209:$L$209</c:f>
              <c:numCache>
                <c:formatCode>0.0%</c:formatCode>
                <c:ptCount val="7"/>
                <c:pt idx="0">
                  <c:v>0.3200558185770237</c:v>
                </c:pt>
                <c:pt idx="1">
                  <c:v>0.43323644567295166</c:v>
                </c:pt>
                <c:pt idx="2">
                  <c:v>0.446978620487051</c:v>
                </c:pt>
                <c:pt idx="3">
                  <c:v>0.45576990610467882</c:v>
                </c:pt>
                <c:pt idx="4">
                  <c:v>0.29980175138321036</c:v>
                </c:pt>
                <c:pt idx="5">
                  <c:v>0.27349541010116801</c:v>
                </c:pt>
                <c:pt idx="6">
                  <c:v>0.24000472411173071</c:v>
                </c:pt>
              </c:numCache>
            </c:numRef>
          </c:val>
          <c:smooth val="0"/>
          <c:extLst>
            <c:ext xmlns:c16="http://schemas.microsoft.com/office/drawing/2014/chart" uri="{C3380CC4-5D6E-409C-BE32-E72D297353CC}">
              <c16:uniqueId val="{00000000-96AF-4D4E-A9CA-D5AA75EDF64E}"/>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charts'!$C$47</c:f>
              <c:strCache>
                <c:ptCount val="1"/>
                <c:pt idx="0">
                  <c:v>Kyivstar Fixed MAU</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charts'!$E$44:$S$44</c:f>
              <c:numCache>
                <c:formatCode>General</c:formatCode>
                <c:ptCount val="15"/>
                <c:pt idx="0">
                  <c:v>2021</c:v>
                </c:pt>
                <c:pt idx="1">
                  <c:v>2022</c:v>
                </c:pt>
                <c:pt idx="2">
                  <c:v>2023</c:v>
                </c:pt>
                <c:pt idx="3">
                  <c:v>2024</c:v>
                </c:pt>
                <c:pt idx="4" formatCode="####&quot;E&quot;">
                  <c:v>2025</c:v>
                </c:pt>
                <c:pt idx="5" formatCode="####&quot;E&quot;">
                  <c:v>2026</c:v>
                </c:pt>
                <c:pt idx="6" formatCode="####&quot;E&quot;">
                  <c:v>2027</c:v>
                </c:pt>
                <c:pt idx="7" formatCode="####&quot;E&quot;">
                  <c:v>2028</c:v>
                </c:pt>
                <c:pt idx="8" formatCode="####&quot;E&quot;">
                  <c:v>2029</c:v>
                </c:pt>
                <c:pt idx="9" formatCode="####&quot;E&quot;">
                  <c:v>2030</c:v>
                </c:pt>
                <c:pt idx="10" formatCode="####&quot;E&quot;">
                  <c:v>2031</c:v>
                </c:pt>
                <c:pt idx="11" formatCode="####&quot;E&quot;">
                  <c:v>2032</c:v>
                </c:pt>
                <c:pt idx="12" formatCode="####&quot;E&quot;">
                  <c:v>2033</c:v>
                </c:pt>
                <c:pt idx="13" formatCode="####&quot;E&quot;">
                  <c:v>2034</c:v>
                </c:pt>
                <c:pt idx="14" formatCode="####&quot;E&quot;">
                  <c:v>2035</c:v>
                </c:pt>
              </c:numCache>
            </c:numRef>
          </c:cat>
          <c:val>
            <c:numRef>
              <c:f>'Initiation charts'!$E$47:$S$47</c:f>
              <c:numCache>
                <c:formatCode>_(* #,##0.0_);_(* \(#,##0.0\);_(* "-"_);_(@_)</c:formatCode>
                <c:ptCount val="15"/>
                <c:pt idx="0">
                  <c:v>1.2035929999999999</c:v>
                </c:pt>
                <c:pt idx="1">
                  <c:v>1.154131</c:v>
                </c:pt>
                <c:pt idx="2">
                  <c:v>1.15419</c:v>
                </c:pt>
                <c:pt idx="3">
                  <c:v>1.1286669999999999</c:v>
                </c:pt>
                <c:pt idx="4">
                  <c:v>1.2194731119679292</c:v>
                </c:pt>
                <c:pt idx="5">
                  <c:v>1.3124797795081855</c:v>
                </c:pt>
                <c:pt idx="6">
                  <c:v>1.4076161766360324</c:v>
                </c:pt>
                <c:pt idx="7">
                  <c:v>1.5048127081909657</c:v>
                </c:pt>
                <c:pt idx="8">
                  <c:v>1.6040009927688392</c:v>
                </c:pt>
                <c:pt idx="9">
                  <c:v>1.7051138458635626</c:v>
                </c:pt>
                <c:pt idx="10">
                  <c:v>1.8080852632159852</c:v>
                </c:pt>
                <c:pt idx="11">
                  <c:v>1.91285040436762</c:v>
                </c:pt>
                <c:pt idx="12">
                  <c:v>1.9933708956468583</c:v>
                </c:pt>
                <c:pt idx="13">
                  <c:v>2.0748098464317355</c:v>
                </c:pt>
                <c:pt idx="14">
                  <c:v>2.1571287743803835</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charts'!$C$49</c:f>
              <c:strCache>
                <c:ptCount val="1"/>
                <c:pt idx="0">
                  <c:v>Ukraine's Fixed penetration as % of HH</c:v>
                </c:pt>
              </c:strCache>
            </c:strRef>
          </c:tx>
          <c:spPr>
            <a:ln w="28575" cap="rnd">
              <a:solidFill>
                <a:srgbClr val="F9663E"/>
              </a:solidFill>
              <a:prstDash val="dash"/>
              <a:round/>
            </a:ln>
            <a:effectLst/>
          </c:spPr>
          <c:marker>
            <c:symbol val="none"/>
          </c:marker>
          <c:cat>
            <c:numRef>
              <c:f>'Initiation charts'!$E$44:$S$44</c:f>
              <c:numCache>
                <c:formatCode>General</c:formatCode>
                <c:ptCount val="15"/>
                <c:pt idx="0">
                  <c:v>2021</c:v>
                </c:pt>
                <c:pt idx="1">
                  <c:v>2022</c:v>
                </c:pt>
                <c:pt idx="2">
                  <c:v>2023</c:v>
                </c:pt>
                <c:pt idx="3">
                  <c:v>2024</c:v>
                </c:pt>
                <c:pt idx="4" formatCode="####&quot;E&quot;">
                  <c:v>2025</c:v>
                </c:pt>
                <c:pt idx="5" formatCode="####&quot;E&quot;">
                  <c:v>2026</c:v>
                </c:pt>
                <c:pt idx="6" formatCode="####&quot;E&quot;">
                  <c:v>2027</c:v>
                </c:pt>
                <c:pt idx="7" formatCode="####&quot;E&quot;">
                  <c:v>2028</c:v>
                </c:pt>
                <c:pt idx="8" formatCode="####&quot;E&quot;">
                  <c:v>2029</c:v>
                </c:pt>
                <c:pt idx="9" formatCode="####&quot;E&quot;">
                  <c:v>2030</c:v>
                </c:pt>
                <c:pt idx="10" formatCode="####&quot;E&quot;">
                  <c:v>2031</c:v>
                </c:pt>
                <c:pt idx="11" formatCode="####&quot;E&quot;">
                  <c:v>2032</c:v>
                </c:pt>
                <c:pt idx="12" formatCode="####&quot;E&quot;">
                  <c:v>2033</c:v>
                </c:pt>
                <c:pt idx="13" formatCode="####&quot;E&quot;">
                  <c:v>2034</c:v>
                </c:pt>
                <c:pt idx="14" formatCode="####&quot;E&quot;">
                  <c:v>2035</c:v>
                </c:pt>
              </c:numCache>
            </c:numRef>
          </c:cat>
          <c:val>
            <c:numRef>
              <c:f>'Initiation charts'!$E$49:$S$49</c:f>
              <c:numCache>
                <c:formatCode>0.0%</c:formatCode>
                <c:ptCount val="15"/>
                <c:pt idx="0">
                  <c:v>0.40992424146655515</c:v>
                </c:pt>
                <c:pt idx="1">
                  <c:v>0.42043183466221612</c:v>
                </c:pt>
                <c:pt idx="2">
                  <c:v>0.51329298439163173</c:v>
                </c:pt>
                <c:pt idx="3">
                  <c:v>0.50742844822510047</c:v>
                </c:pt>
                <c:pt idx="4">
                  <c:v>0.53742844822510039</c:v>
                </c:pt>
                <c:pt idx="5">
                  <c:v>0.56742844822510052</c:v>
                </c:pt>
                <c:pt idx="6">
                  <c:v>0.59742844822510044</c:v>
                </c:pt>
                <c:pt idx="7">
                  <c:v>0.62742844822510058</c:v>
                </c:pt>
                <c:pt idx="8">
                  <c:v>0.6574284482251006</c:v>
                </c:pt>
                <c:pt idx="9">
                  <c:v>0.68742844822510063</c:v>
                </c:pt>
                <c:pt idx="10">
                  <c:v>0.71742844822510055</c:v>
                </c:pt>
                <c:pt idx="11">
                  <c:v>0.74742844822510068</c:v>
                </c:pt>
                <c:pt idx="12">
                  <c:v>0.7674284482251007</c:v>
                </c:pt>
                <c:pt idx="13">
                  <c:v>0.78742844822510072</c:v>
                </c:pt>
                <c:pt idx="14">
                  <c:v>0.80742844822510085</c:v>
                </c:pt>
              </c:numCache>
            </c:numRef>
          </c:val>
          <c:smooth val="0"/>
          <c:extLst>
            <c:ext xmlns:c16="http://schemas.microsoft.com/office/drawing/2014/chart" uri="{C3380CC4-5D6E-409C-BE32-E72D297353CC}">
              <c16:uniqueId val="{00000002-3847-4986-8373-DD0E19E8F0E7}"/>
            </c:ext>
          </c:extLst>
        </c:ser>
        <c:dLbls>
          <c:showLegendKey val="0"/>
          <c:showVal val="0"/>
          <c:showCatName val="0"/>
          <c:showSerName val="0"/>
          <c:showPercent val="0"/>
          <c:showBubbleSize val="0"/>
        </c:dLbls>
        <c:marker val="1"/>
        <c:smooth val="0"/>
        <c:axId val="289935008"/>
        <c:axId val="289936928"/>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_(* #,##0.0_);_(* \(#,##0.0\);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8993692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9935008"/>
        <c:crosses val="max"/>
        <c:crossBetween val="between"/>
      </c:valAx>
      <c:catAx>
        <c:axId val="289935008"/>
        <c:scaling>
          <c:orientation val="minMax"/>
        </c:scaling>
        <c:delete val="1"/>
        <c:axPos val="b"/>
        <c:numFmt formatCode="General" sourceLinked="1"/>
        <c:majorTickMark val="out"/>
        <c:minorTickMark val="none"/>
        <c:tickLblPos val="nextTo"/>
        <c:crossAx val="28993692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'Initiation charts'!$C$113</c:f>
              <c:strCache>
                <c:ptCount val="1"/>
                <c:pt idx="0">
                  <c:v>Helsi</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charts'!$E$113:$Q$113</c:f>
              <c:numCache>
                <c:formatCode>#,##0;\(#,##0\);"--"_)</c:formatCode>
                <c:ptCount val="13"/>
                <c:pt idx="0">
                  <c:v>3.6242455508289422</c:v>
                </c:pt>
                <c:pt idx="1">
                  <c:v>5.1220119521912348</c:v>
                </c:pt>
                <c:pt idx="2">
                  <c:v>6.3368635893742811</c:v>
                </c:pt>
                <c:pt idx="3">
                  <c:v>7.8232519375094398</c:v>
                </c:pt>
                <c:pt idx="4">
                  <c:v>8.7669179643215589</c:v>
                </c:pt>
                <c:pt idx="5">
                  <c:v>9.8047395758316007</c:v>
                </c:pt>
                <c:pt idx="6">
                  <c:v>10.945030788500818</c:v>
                </c:pt>
                <c:pt idx="7">
                  <c:v>12.196782280668083</c:v>
                </c:pt>
                <c:pt idx="8">
                  <c:v>13.56971338870564</c:v>
                </c:pt>
                <c:pt idx="9">
                  <c:v>15.074327932568329</c:v>
                </c:pt>
                <c:pt idx="10">
                  <c:v>16.721974143727358</c:v>
                </c:pt>
                <c:pt idx="11">
                  <c:v>18.524908987446334</c:v>
                </c:pt>
                <c:pt idx="12">
                  <c:v>20.496367191614937</c:v>
                </c:pt>
              </c:numCache>
            </c:numRef>
          </c:val>
          <c:extLst>
            <c:ext xmlns:c16="http://schemas.microsoft.com/office/drawing/2014/chart" uri="{C3380CC4-5D6E-409C-BE32-E72D297353CC}">
              <c16:uniqueId val="{00000001-3AC6-476A-8876-8B65B738C694}"/>
            </c:ext>
          </c:extLst>
        </c:ser>
        <c:ser>
          <c:idx val="2"/>
          <c:order val="1"/>
          <c:tx>
            <c:strRef>
              <c:f>'Initiation charts'!$C$114</c:f>
              <c:strCache>
                <c:ptCount val="1"/>
                <c:pt idx="0">
                  <c:v>Kyivstar TV - Gross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charts'!$E$114:$Q$114</c:f>
              <c:numCache>
                <c:formatCode>#,##0;\(#,##0\);"--"_)</c:formatCode>
                <c:ptCount val="13"/>
                <c:pt idx="0">
                  <c:v>10.86270127977077</c:v>
                </c:pt>
                <c:pt idx="1">
                  <c:v>19.506349601593627</c:v>
                </c:pt>
                <c:pt idx="2">
                  <c:v>29.280804056501275</c:v>
                </c:pt>
                <c:pt idx="3">
                  <c:v>37.797568533140172</c:v>
                </c:pt>
                <c:pt idx="4">
                  <c:v>47.326875525609545</c:v>
                </c:pt>
                <c:pt idx="5">
                  <c:v>57.737108467406813</c:v>
                </c:pt>
                <c:pt idx="6">
                  <c:v>68.868132406245167</c:v>
                </c:pt>
                <c:pt idx="7">
                  <c:v>80.54108333118846</c:v>
                </c:pt>
                <c:pt idx="8">
                  <c:v>92.568070464740757</c:v>
                </c:pt>
                <c:pt idx="9">
                  <c:v>104.76104930334992</c:v>
                </c:pt>
                <c:pt idx="10">
                  <c:v>116.93936487430069</c:v>
                </c:pt>
                <c:pt idx="11">
                  <c:v>128.93569780443866</c:v>
                </c:pt>
                <c:pt idx="12">
                  <c:v>140.60034400647103</c:v>
                </c:pt>
              </c:numCache>
            </c:numRef>
          </c:val>
          <c:extLst>
            <c:ext xmlns:c16="http://schemas.microsoft.com/office/drawing/2014/chart" uri="{C3380CC4-5D6E-409C-BE32-E72D297353CC}">
              <c16:uniqueId val="{00000002-3AC6-476A-8876-8B65B738C694}"/>
            </c:ext>
          </c:extLst>
        </c:ser>
        <c:ser>
          <c:idx val="3"/>
          <c:order val="2"/>
          <c:tx>
            <c:strRef>
              <c:f>'Initiation charts'!$C$115</c:f>
              <c:strCache>
                <c:ptCount val="1"/>
                <c:pt idx="0">
                  <c:v>B2B/Cloud</c:v>
                </c:pt>
              </c:strCache>
            </c:strRef>
          </c:tx>
          <c:spPr>
            <a:solidFill>
              <a:srgbClr val="C7FE0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charts'!$E$115:$Q$115</c:f>
              <c:numCache>
                <c:formatCode>#,##0;\(#,##0\);"--"_)</c:formatCode>
                <c:ptCount val="13"/>
                <c:pt idx="0">
                  <c:v>4.3075820980547181</c:v>
                </c:pt>
                <c:pt idx="1">
                  <c:v>11.588645418326694</c:v>
                </c:pt>
                <c:pt idx="2">
                  <c:v>22.250199203187254</c:v>
                </c:pt>
                <c:pt idx="3">
                  <c:v>36.312325099601594</c:v>
                </c:pt>
                <c:pt idx="4">
                  <c:v>51.941149822470116</c:v>
                </c:pt>
                <c:pt idx="5">
                  <c:v>66.966685643114275</c:v>
                </c:pt>
                <c:pt idx="6">
                  <c:v>79.723571391384965</c:v>
                </c:pt>
                <c:pt idx="7">
                  <c:v>89.397803553729617</c:v>
                </c:pt>
                <c:pt idx="8">
                  <c:v>95.918751114261454</c:v>
                </c:pt>
                <c:pt idx="9">
                  <c:v>99.66534981038464</c:v>
                </c:pt>
                <c:pt idx="10">
                  <c:v>102.77033559982566</c:v>
                </c:pt>
                <c:pt idx="11">
                  <c:v>105.24080124440403</c:v>
                </c:pt>
                <c:pt idx="12">
                  <c:v>107.0967052319704</c:v>
                </c:pt>
              </c:numCache>
            </c:numRef>
          </c:val>
          <c:extLst>
            <c:ext xmlns:c16="http://schemas.microsoft.com/office/drawing/2014/chart" uri="{C3380CC4-5D6E-409C-BE32-E72D297353CC}">
              <c16:uniqueId val="{00000003-3AC6-476A-8876-8B65B738C694}"/>
            </c:ext>
          </c:extLst>
        </c:ser>
        <c:ser>
          <c:idx val="4"/>
          <c:order val="3"/>
          <c:tx>
            <c:strRef>
              <c:f>'Initiation charts'!$C$116</c:f>
              <c:strCache>
                <c:ptCount val="1"/>
                <c:pt idx="0">
                  <c:v>Uklon</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charts'!$E$116:$Q$116</c:f>
              <c:numCache>
                <c:formatCode>#,##0;\(#,##0\);"--"_)</c:formatCode>
                <c:ptCount val="13"/>
                <c:pt idx="0">
                  <c:v>0</c:v>
                </c:pt>
                <c:pt idx="1">
                  <c:v>0</c:v>
                </c:pt>
                <c:pt idx="2">
                  <c:v>75.866491172571429</c:v>
                </c:pt>
                <c:pt idx="3">
                  <c:v>110.94764223631198</c:v>
                </c:pt>
                <c:pt idx="4">
                  <c:v>131.68977372119136</c:v>
                </c:pt>
                <c:pt idx="5">
                  <c:v>151.0338991324449</c:v>
                </c:pt>
                <c:pt idx="6">
                  <c:v>168.46852091093442</c:v>
                </c:pt>
                <c:pt idx="7">
                  <c:v>183.41109795879677</c:v>
                </c:pt>
                <c:pt idx="8">
                  <c:v>199.53850329759783</c:v>
                </c:pt>
                <c:pt idx="9">
                  <c:v>216.93712372205175</c:v>
                </c:pt>
                <c:pt idx="10">
                  <c:v>235.69926993604221</c:v>
                </c:pt>
                <c:pt idx="11">
                  <c:v>255.92356458533635</c:v>
                </c:pt>
                <c:pt idx="12">
                  <c:v>277.71535482786612</c:v>
                </c:pt>
              </c:numCache>
            </c:numRef>
          </c:val>
          <c:extLst>
            <c:ext xmlns:c16="http://schemas.microsoft.com/office/drawing/2014/chart" uri="{C3380CC4-5D6E-409C-BE32-E72D297353CC}">
              <c16:uniqueId val="{00000004-3AC6-476A-8876-8B65B738C694}"/>
            </c:ext>
          </c:extLst>
        </c:ser>
        <c:ser>
          <c:idx val="5"/>
          <c:order val="4"/>
          <c:tx>
            <c:strRef>
              <c:f>'Initiation charts'!$C$117</c:f>
              <c:strCache>
                <c:ptCount val="1"/>
                <c:pt idx="0">
                  <c:v>Adjustments</c:v>
                </c:pt>
              </c:strCache>
            </c:strRef>
          </c:tx>
          <c:spPr>
            <a:solidFill>
              <a:schemeClr val="accent6"/>
            </a:solidFill>
            <a:ln>
              <a:noFill/>
            </a:ln>
            <a:effectLst/>
          </c:spPr>
          <c:invertIfNegative val="0"/>
          <c:dLbls>
            <c:delete val="1"/>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charts'!$E$117:$Q$117</c:f>
              <c:numCache>
                <c:formatCode>#,##0;\(#,##0\);"--"_)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5-3AC6-476A-8876-8B65B738C694}"/>
            </c:ext>
          </c:extLst>
        </c:ser>
        <c:dLbls>
          <c:showLegendKey val="0"/>
          <c:showVal val="1"/>
          <c:showCatName val="0"/>
          <c:showSerName val="0"/>
          <c:showPercent val="0"/>
          <c:showBubbleSize val="0"/>
        </c:dLbls>
        <c:gapWidth val="30"/>
        <c:overlap val="100"/>
        <c:axId val="1495160607"/>
        <c:axId val="1495161855"/>
      </c:barChart>
      <c:lineChart>
        <c:grouping val="standard"/>
        <c:varyColors val="0"/>
        <c:ser>
          <c:idx val="6"/>
          <c:order val="5"/>
          <c:tx>
            <c:strRef>
              <c:f>'Initiation charts'!$C$118</c:f>
              <c:strCache>
                <c:ptCount val="1"/>
                <c:pt idx="0">
                  <c:v>Direct Digital revenue</c:v>
                </c:pt>
              </c:strCache>
            </c:strRef>
          </c:tx>
          <c:spPr>
            <a:ln w="25400" cap="rnd">
              <a:noFill/>
              <a:round/>
            </a:ln>
            <a:effectLst/>
          </c:spPr>
          <c:marker>
            <c:symbol val="none"/>
          </c:marker>
          <c:dLbls>
            <c:spPr>
              <a:solidFill>
                <a:srgbClr val="263238"/>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charts'!$E$101:$Q$101</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charts'!$E$118:$Q$118</c:f>
              <c:numCache>
                <c:formatCode>#,##0;\(#,##0\);"--"_)</c:formatCode>
                <c:ptCount val="13"/>
                <c:pt idx="0">
                  <c:v>18.794528928654429</c:v>
                </c:pt>
                <c:pt idx="1">
                  <c:v>36.217006972111555</c:v>
                </c:pt>
                <c:pt idx="2">
                  <c:v>133.73435802163425</c:v>
                </c:pt>
                <c:pt idx="3">
                  <c:v>192.88078780656321</c:v>
                </c:pt>
                <c:pt idx="4">
                  <c:v>239.72471703359258</c:v>
                </c:pt>
                <c:pt idx="5">
                  <c:v>285.54243281879758</c:v>
                </c:pt>
                <c:pt idx="6">
                  <c:v>328.00525549706538</c:v>
                </c:pt>
                <c:pt idx="7">
                  <c:v>365.54676712438294</c:v>
                </c:pt>
                <c:pt idx="8">
                  <c:v>401.59503826530567</c:v>
                </c:pt>
                <c:pt idx="9">
                  <c:v>436.43785076835462</c:v>
                </c:pt>
                <c:pt idx="10">
                  <c:v>472.13094455389592</c:v>
                </c:pt>
                <c:pt idx="11">
                  <c:v>508.62497262162537</c:v>
                </c:pt>
                <c:pt idx="12">
                  <c:v>545.90877125792258</c:v>
                </c:pt>
              </c:numCache>
            </c:numRef>
          </c:val>
          <c:smooth val="0"/>
          <c:extLst>
            <c:ext xmlns:c16="http://schemas.microsoft.com/office/drawing/2014/chart" uri="{C3380CC4-5D6E-409C-BE32-E72D297353CC}">
              <c16:uniqueId val="{00000006-3AC6-476A-8876-8B65B738C694}"/>
            </c:ext>
          </c:extLst>
        </c:ser>
        <c:dLbls>
          <c:showLegendKey val="0"/>
          <c:showVal val="1"/>
          <c:showCatName val="0"/>
          <c:showSerName val="0"/>
          <c:showPercent val="0"/>
          <c:showBubbleSize val="0"/>
        </c:dLbls>
        <c:marker val="1"/>
        <c:smooth val="0"/>
        <c:axId val="2136338656"/>
        <c:axId val="2136340096"/>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quot;--&quot;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136340096"/>
        <c:scaling>
          <c:orientation val="minMax"/>
        </c:scaling>
        <c:delete val="0"/>
        <c:axPos val="r"/>
        <c:numFmt formatCode="#,##0;\(#,##0\);&quot;--&quot;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6338656"/>
        <c:crosses val="max"/>
        <c:crossBetween val="between"/>
      </c:valAx>
      <c:catAx>
        <c:axId val="2136338656"/>
        <c:scaling>
          <c:orientation val="minMax"/>
        </c:scaling>
        <c:delete val="1"/>
        <c:axPos val="b"/>
        <c:numFmt formatCode="General" sourceLinked="1"/>
        <c:majorTickMark val="out"/>
        <c:minorTickMark val="none"/>
        <c:tickLblPos val="nextTo"/>
        <c:crossAx val="2136340096"/>
        <c:crosses val="autoZero"/>
        <c:auto val="1"/>
        <c:lblAlgn val="ctr"/>
        <c:lblOffset val="100"/>
        <c:noMultiLvlLbl val="0"/>
      </c:cat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'Initiation charts'!$C$66</c:f>
              <c:strCache>
                <c:ptCount val="1"/>
                <c:pt idx="0">
                  <c:v>Direct digital revenue , UAH m</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charts'!$D$64:$M$64</c:f>
              <c:strCache>
                <c:ptCount val="10"/>
                <c:pt idx="0">
                  <c:v>1Q23</c:v>
                </c:pt>
                <c:pt idx="1">
                  <c:v>2Q23</c:v>
                </c:pt>
                <c:pt idx="2">
                  <c:v>3Q23</c:v>
                </c:pt>
                <c:pt idx="3">
                  <c:v>4Q23</c:v>
                </c:pt>
                <c:pt idx="4">
                  <c:v>1Q24</c:v>
                </c:pt>
                <c:pt idx="5">
                  <c:v>2Q24</c:v>
                </c:pt>
                <c:pt idx="6">
                  <c:v>3Q24</c:v>
                </c:pt>
                <c:pt idx="7">
                  <c:v>4Q24</c:v>
                </c:pt>
                <c:pt idx="8">
                  <c:v>1Q25</c:v>
                </c:pt>
                <c:pt idx="9">
                  <c:v>2Q25</c:v>
                </c:pt>
              </c:strCache>
            </c:strRef>
          </c:cat>
          <c:val>
            <c:numRef>
              <c:f>'Initiation charts'!$D$66:$M$66</c:f>
              <c:numCache>
                <c:formatCode>_(* #,##0_);_(* \(#,##0\);_(* "-"_);_(@_)</c:formatCode>
                <c:ptCount val="10"/>
                <c:pt idx="0">
                  <c:v>118</c:v>
                </c:pt>
                <c:pt idx="1">
                  <c:v>127</c:v>
                </c:pt>
                <c:pt idx="2">
                  <c:v>45</c:v>
                </c:pt>
                <c:pt idx="3">
                  <c:v>106</c:v>
                </c:pt>
                <c:pt idx="4">
                  <c:v>137</c:v>
                </c:pt>
                <c:pt idx="5">
                  <c:v>225</c:v>
                </c:pt>
                <c:pt idx="6">
                  <c:v>232</c:v>
                </c:pt>
                <c:pt idx="7">
                  <c:v>286</c:v>
                </c:pt>
                <c:pt idx="8">
                  <c:v>329</c:v>
                </c:pt>
                <c:pt idx="9">
                  <c:v>1263</c:v>
                </c:pt>
              </c:numCache>
            </c:numRef>
          </c:val>
          <c:extLst>
            <c:ext xmlns:c16="http://schemas.microsoft.com/office/drawing/2014/chart" uri="{C3380CC4-5D6E-409C-BE32-E72D297353CC}">
              <c16:uniqueId val="{00000000-4DB8-4B90-90AD-365C752D4FF4}"/>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'Initiation charts'!$C$68</c:f>
              <c:strCache>
                <c:ptCount val="1"/>
                <c:pt idx="0">
                  <c:v>% of total revenue</c:v>
                </c:pt>
              </c:strCache>
            </c:strRef>
          </c:tx>
          <c:spPr>
            <a:ln w="28575" cap="rnd">
              <a:solidFill>
                <a:srgbClr val="F9663E"/>
              </a:solidFill>
              <a:prstDash val="dash"/>
              <a:round/>
            </a:ln>
            <a:effectLst/>
          </c:spPr>
          <c:marker>
            <c:symbol val="none"/>
          </c:marker>
          <c:dLbls>
            <c:spPr>
              <a:solidFill>
                <a:srgbClr val="F966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charts'!$D$64:$M$64</c:f>
              <c:strCache>
                <c:ptCount val="10"/>
                <c:pt idx="0">
                  <c:v>1Q23</c:v>
                </c:pt>
                <c:pt idx="1">
                  <c:v>2Q23</c:v>
                </c:pt>
                <c:pt idx="2">
                  <c:v>3Q23</c:v>
                </c:pt>
                <c:pt idx="3">
                  <c:v>4Q23</c:v>
                </c:pt>
                <c:pt idx="4">
                  <c:v>1Q24</c:v>
                </c:pt>
                <c:pt idx="5">
                  <c:v>2Q24</c:v>
                </c:pt>
                <c:pt idx="6">
                  <c:v>3Q24</c:v>
                </c:pt>
                <c:pt idx="7">
                  <c:v>4Q24</c:v>
                </c:pt>
                <c:pt idx="8">
                  <c:v>1Q25</c:v>
                </c:pt>
                <c:pt idx="9">
                  <c:v>2Q25</c:v>
                </c:pt>
              </c:strCache>
            </c:strRef>
          </c:cat>
          <c:val>
            <c:numRef>
              <c:f>'Initiation charts'!$D$68:$M$68</c:f>
              <c:numCache>
                <c:formatCode>0.0%</c:formatCode>
                <c:ptCount val="10"/>
                <c:pt idx="0">
                  <c:v>1.4137734649402463E-2</c:v>
                </c:pt>
                <c:pt idx="1">
                  <c:v>1.4751290441291587E-2</c:v>
                </c:pt>
                <c:pt idx="2">
                  <c:v>5.1657298601596744E-3</c:v>
                </c:pt>
                <c:pt idx="3">
                  <c:v>1.3382380855007179E-2</c:v>
                </c:pt>
                <c:pt idx="4">
                  <c:v>1.9110992060586921E-2</c:v>
                </c:pt>
                <c:pt idx="5">
                  <c:v>2.3872140850932071E-2</c:v>
                </c:pt>
                <c:pt idx="6">
                  <c:v>2.2596920531126777E-2</c:v>
                </c:pt>
                <c:pt idx="7">
                  <c:v>2.7464427557307797E-2</c:v>
                </c:pt>
                <c:pt idx="8">
                  <c:v>3.0690944373822835E-2</c:v>
                </c:pt>
                <c:pt idx="9">
                  <c:v>0.1065193556548874</c:v>
                </c:pt>
              </c:numCache>
            </c:numRef>
          </c:val>
          <c:smooth val="0"/>
          <c:extLst>
            <c:ext xmlns:c16="http://schemas.microsoft.com/office/drawing/2014/chart" uri="{C3380CC4-5D6E-409C-BE32-E72D297353CC}">
              <c16:uniqueId val="{00000001-4DB8-4B90-90AD-365C752D4FF4}"/>
            </c:ext>
          </c:extLst>
        </c:ser>
        <c:dLbls>
          <c:showLegendKey val="0"/>
          <c:showVal val="0"/>
          <c:showCatName val="0"/>
          <c:showSerName val="0"/>
          <c:showPercent val="0"/>
          <c:showBubbleSize val="0"/>
        </c:dLbls>
        <c:marker val="1"/>
        <c:smooth val="0"/>
        <c:axId val="1030444000"/>
        <c:axId val="1030450240"/>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_(* #,##0_);_(* \(#,##0\);_(*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030450240"/>
        <c:scaling>
          <c:orientation val="minMax"/>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0444000"/>
        <c:crosses val="max"/>
        <c:crossBetween val="between"/>
      </c:valAx>
      <c:catAx>
        <c:axId val="1030444000"/>
        <c:scaling>
          <c:orientation val="minMax"/>
        </c:scaling>
        <c:delete val="1"/>
        <c:axPos val="t"/>
        <c:numFmt formatCode="General" sourceLinked="1"/>
        <c:majorTickMark val="out"/>
        <c:minorTickMark val="none"/>
        <c:tickLblPos val="nextTo"/>
        <c:crossAx val="1030450240"/>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'Initiation charts'!$C$11</c:f>
              <c:strCache>
                <c:ptCount val="1"/>
                <c:pt idx="0">
                  <c:v>Kyivstar</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charts'!$D$10:$H$10</c:f>
              <c:numCache>
                <c:formatCode>General</c:formatCode>
                <c:ptCount val="5"/>
                <c:pt idx="0">
                  <c:v>2020</c:v>
                </c:pt>
                <c:pt idx="1">
                  <c:v>2021</c:v>
                </c:pt>
                <c:pt idx="2">
                  <c:v>2022</c:v>
                </c:pt>
                <c:pt idx="3">
                  <c:v>2023</c:v>
                </c:pt>
                <c:pt idx="4">
                  <c:v>2024</c:v>
                </c:pt>
              </c:numCache>
            </c:numRef>
          </c:cat>
          <c:val>
            <c:numRef>
              <c:f>'Initiation charts'!$D$11:$H$11</c:f>
              <c:numCache>
                <c:formatCode>0.0%</c:formatCode>
                <c:ptCount val="5"/>
                <c:pt idx="0">
                  <c:v>0.48899999999999999</c:v>
                </c:pt>
                <c:pt idx="1">
                  <c:v>0.48199999999999998</c:v>
                </c:pt>
                <c:pt idx="2">
                  <c:v>0.50900000000000001</c:v>
                </c:pt>
                <c:pt idx="3">
                  <c:v>0.48099999999999998</c:v>
                </c:pt>
                <c:pt idx="4">
                  <c:v>0.47199999999999998</c:v>
                </c:pt>
              </c:numCache>
            </c:numRef>
          </c:val>
          <c:smooth val="0"/>
          <c:extLst>
            <c:ext xmlns:c16="http://schemas.microsoft.com/office/drawing/2014/chart" uri="{C3380CC4-5D6E-409C-BE32-E72D297353CC}">
              <c16:uniqueId val="{00000000-96AF-4D4E-A9CA-D5AA75EDF64E}"/>
            </c:ext>
          </c:extLst>
        </c:ser>
        <c:ser>
          <c:idx val="1"/>
          <c:order val="1"/>
          <c:tx>
            <c:strRef>
              <c:f>'Initiation charts'!$C$12</c:f>
              <c:strCache>
                <c:ptCount val="1"/>
                <c:pt idx="0">
                  <c:v>Vodafone Ukraine</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charts'!$D$10:$H$10</c:f>
              <c:numCache>
                <c:formatCode>General</c:formatCode>
                <c:ptCount val="5"/>
                <c:pt idx="0">
                  <c:v>2020</c:v>
                </c:pt>
                <c:pt idx="1">
                  <c:v>2021</c:v>
                </c:pt>
                <c:pt idx="2">
                  <c:v>2022</c:v>
                </c:pt>
                <c:pt idx="3">
                  <c:v>2023</c:v>
                </c:pt>
                <c:pt idx="4">
                  <c:v>2024</c:v>
                </c:pt>
              </c:numCache>
            </c:numRef>
          </c:cat>
          <c:val>
            <c:numRef>
              <c:f>'Initiation charts'!$D$12:$H$12</c:f>
              <c:numCache>
                <c:formatCode>0.0%</c:formatCode>
                <c:ptCount val="5"/>
                <c:pt idx="0">
                  <c:v>0.35799999999999998</c:v>
                </c:pt>
                <c:pt idx="1">
                  <c:v>0.34799999999999998</c:v>
                </c:pt>
                <c:pt idx="2">
                  <c:v>0.316</c:v>
                </c:pt>
                <c:pt idx="3">
                  <c:v>0.32</c:v>
                </c:pt>
                <c:pt idx="4">
                  <c:v>0.32400000000000001</c:v>
                </c:pt>
              </c:numCache>
            </c:numRef>
          </c:val>
          <c:smooth val="0"/>
          <c:extLst>
            <c:ext xmlns:c16="http://schemas.microsoft.com/office/drawing/2014/chart" uri="{C3380CC4-5D6E-409C-BE32-E72D297353CC}">
              <c16:uniqueId val="{00000001-96AF-4D4E-A9CA-D5AA75EDF64E}"/>
            </c:ext>
          </c:extLst>
        </c:ser>
        <c:ser>
          <c:idx val="2"/>
          <c:order val="2"/>
          <c:tx>
            <c:strRef>
              <c:f>'Initiation charts'!$C$13</c:f>
              <c:strCache>
                <c:ptCount val="1"/>
                <c:pt idx="0">
                  <c:v>Lifecell</c:v>
                </c:pt>
              </c:strCache>
            </c:strRef>
          </c:tx>
          <c:spPr>
            <a:ln w="28575" cap="rnd">
              <a:solidFill>
                <a:srgbClr val="F9663E"/>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charts'!$D$10:$H$10</c:f>
              <c:numCache>
                <c:formatCode>General</c:formatCode>
                <c:ptCount val="5"/>
                <c:pt idx="0">
                  <c:v>2020</c:v>
                </c:pt>
                <c:pt idx="1">
                  <c:v>2021</c:v>
                </c:pt>
                <c:pt idx="2">
                  <c:v>2022</c:v>
                </c:pt>
                <c:pt idx="3">
                  <c:v>2023</c:v>
                </c:pt>
                <c:pt idx="4">
                  <c:v>2024</c:v>
                </c:pt>
              </c:numCache>
            </c:numRef>
          </c:cat>
          <c:val>
            <c:numRef>
              <c:f>'Initiation charts'!$D$13:$H$13</c:f>
              <c:numCache>
                <c:formatCode>0.0%</c:formatCode>
                <c:ptCount val="5"/>
                <c:pt idx="0">
                  <c:v>0.153</c:v>
                </c:pt>
                <c:pt idx="1">
                  <c:v>0.17</c:v>
                </c:pt>
                <c:pt idx="2">
                  <c:v>0.17500000000000004</c:v>
                </c:pt>
                <c:pt idx="3">
                  <c:v>0.19900000000000007</c:v>
                </c:pt>
                <c:pt idx="4">
                  <c:v>0.20399999999999996</c:v>
                </c:pt>
              </c:numCache>
            </c:numRef>
          </c:val>
          <c:smooth val="0"/>
          <c:extLst>
            <c:ext xmlns:c16="http://schemas.microsoft.com/office/drawing/2014/chart" uri="{C3380CC4-5D6E-409C-BE32-E72D297353CC}">
              <c16:uniqueId val="{00000002-96AF-4D4E-A9CA-D5AA75EDF64E}"/>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rgbClr val="263238"/>
              </a:solidFill>
              <a:ln>
                <a:noFill/>
              </a:ln>
              <a:effectLst/>
            </c:spPr>
            <c:extLst>
              <c:ext xmlns:c16="http://schemas.microsoft.com/office/drawing/2014/chart" uri="{C3380CC4-5D6E-409C-BE32-E72D297353CC}">
                <c16:uniqueId val="{00000001-6722-4C42-89B0-C96EAFF36FDB}"/>
              </c:ext>
            </c:extLst>
          </c:dPt>
          <c:dPt>
            <c:idx val="1"/>
            <c:bubble3D val="0"/>
            <c:spPr>
              <a:solidFill>
                <a:srgbClr val="799098"/>
              </a:solidFill>
              <a:ln>
                <a:noFill/>
              </a:ln>
              <a:effectLst/>
            </c:spPr>
            <c:extLst>
              <c:ext xmlns:c16="http://schemas.microsoft.com/office/drawing/2014/chart" uri="{C3380CC4-5D6E-409C-BE32-E72D297353CC}">
                <c16:uniqueId val="{00000003-6722-4C42-89B0-C96EAFF36FDB}"/>
              </c:ext>
            </c:extLst>
          </c:dPt>
          <c:dPt>
            <c:idx val="2"/>
            <c:bubble3D val="0"/>
            <c:spPr>
              <a:solidFill>
                <a:srgbClr val="F9663E"/>
              </a:solidFill>
              <a:ln>
                <a:noFill/>
              </a:ln>
              <a:effectLst/>
            </c:spPr>
            <c:extLst>
              <c:ext xmlns:c16="http://schemas.microsoft.com/office/drawing/2014/chart" uri="{C3380CC4-5D6E-409C-BE32-E72D297353CC}">
                <c16:uniqueId val="{00000005-6722-4C42-89B0-C96EAFF36FDB}"/>
              </c:ext>
            </c:extLst>
          </c:dPt>
          <c:dPt>
            <c:idx val="3"/>
            <c:bubble3D val="0"/>
            <c:spPr>
              <a:solidFill>
                <a:srgbClr val="C7FE02"/>
              </a:solidFill>
              <a:ln>
                <a:noFill/>
              </a:ln>
              <a:effectLst/>
            </c:spPr>
            <c:extLst>
              <c:ext xmlns:c16="http://schemas.microsoft.com/office/drawing/2014/chart" uri="{C3380CC4-5D6E-409C-BE32-E72D297353CC}">
                <c16:uniqueId val="{00000007-6722-4C42-89B0-C96EAFF36FDB}"/>
              </c:ext>
            </c:extLst>
          </c:dPt>
          <c:dPt>
            <c:idx val="4"/>
            <c:bubble3D val="0"/>
            <c:spPr>
              <a:solidFill>
                <a:srgbClr val="00CA94"/>
              </a:solidFill>
              <a:ln>
                <a:noFill/>
              </a:ln>
              <a:effectLst/>
            </c:spPr>
            <c:extLst>
              <c:ext xmlns:c16="http://schemas.microsoft.com/office/drawing/2014/chart" uri="{C3380CC4-5D6E-409C-BE32-E72D297353CC}">
                <c16:uniqueId val="{00000009-6722-4C42-89B0-C96EAFF36FDB}"/>
              </c:ext>
            </c:extLst>
          </c:dPt>
          <c:dPt>
            <c:idx val="5"/>
            <c:bubble3D val="0"/>
            <c:spPr>
              <a:solidFill>
                <a:srgbClr val="465A63"/>
              </a:solidFill>
              <a:ln>
                <a:noFill/>
              </a:ln>
              <a:effectLst/>
            </c:spPr>
            <c:extLst>
              <c:ext xmlns:c16="http://schemas.microsoft.com/office/drawing/2014/chart" uri="{C3380CC4-5D6E-409C-BE32-E72D297353CC}">
                <c16:uniqueId val="{0000000B-6722-4C42-89B0-C96EAFF36FDB}"/>
              </c:ext>
            </c:extLst>
          </c:dPt>
          <c:dPt>
            <c:idx val="6"/>
            <c:bubble3D val="0"/>
            <c:spPr>
              <a:solidFill>
                <a:srgbClr val="B0BEC5"/>
              </a:solidFill>
              <a:ln>
                <a:noFill/>
              </a:ln>
              <a:effectLst/>
            </c:spPr>
            <c:extLst>
              <c:ext xmlns:c16="http://schemas.microsoft.com/office/drawing/2014/chart" uri="{C3380CC4-5D6E-409C-BE32-E72D297353CC}">
                <c16:uniqueId val="{0000000D-6722-4C42-89B0-C96EAFF36FDB}"/>
              </c:ext>
            </c:extLst>
          </c:dPt>
          <c:dPt>
            <c:idx val="7"/>
            <c:bubble3D val="0"/>
            <c:spPr>
              <a:solidFill>
                <a:srgbClr val="F19375"/>
              </a:solidFill>
              <a:ln>
                <a:noFill/>
              </a:ln>
              <a:effectLst/>
            </c:spPr>
            <c:extLst>
              <c:ext xmlns:c16="http://schemas.microsoft.com/office/drawing/2014/chart" uri="{C3380CC4-5D6E-409C-BE32-E72D297353CC}">
                <c16:uniqueId val="{0000000F-6722-4C42-89B0-C96EAFF36FDB}"/>
              </c:ext>
            </c:extLst>
          </c:dPt>
          <c:dPt>
            <c:idx val="8"/>
            <c:bubble3D val="0"/>
            <c:spPr>
              <a:solidFill>
                <a:srgbClr val="E3F982"/>
              </a:solidFill>
              <a:ln>
                <a:noFill/>
              </a:ln>
              <a:effectLst/>
            </c:spPr>
            <c:extLst>
              <c:ext xmlns:c16="http://schemas.microsoft.com/office/drawing/2014/chart" uri="{C3380CC4-5D6E-409C-BE32-E72D297353CC}">
                <c16:uniqueId val="{00000011-6722-4C42-89B0-C96EAFF36FDB}"/>
              </c:ext>
            </c:extLst>
          </c:dPt>
          <c:dPt>
            <c:idx val="9"/>
            <c:bubble3D val="0"/>
            <c:spPr>
              <a:solidFill>
                <a:srgbClr val="80D4C1"/>
              </a:solidFill>
              <a:ln>
                <a:noFill/>
              </a:ln>
              <a:effectLst/>
            </c:spPr>
            <c:extLst>
              <c:ext xmlns:c16="http://schemas.microsoft.com/office/drawing/2014/chart" uri="{C3380CC4-5D6E-409C-BE32-E72D297353CC}">
                <c16:uniqueId val="{00000013-6722-4C42-89B0-C96EAFF36FDB}"/>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1-6722-4C42-89B0-C96EAFF36FDB}"/>
                </c:ext>
              </c:extLst>
            </c:dLbl>
            <c:dLbl>
              <c:idx val="1"/>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6722-4C42-89B0-C96EAFF36FDB}"/>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B-6722-4C42-89B0-C96EAFF36FDB}"/>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D-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'Initiation charts'!$C$17:$C$20</c:f>
              <c:strCache>
                <c:ptCount val="4"/>
                <c:pt idx="0">
                  <c:v>Kyivstar</c:v>
                </c:pt>
                <c:pt idx="1">
                  <c:v>Ukrtelecom</c:v>
                </c:pt>
                <c:pt idx="2">
                  <c:v>Lifecell</c:v>
                </c:pt>
                <c:pt idx="3">
                  <c:v>Others</c:v>
                </c:pt>
              </c:strCache>
            </c:strRef>
          </c:cat>
          <c:val>
            <c:numRef>
              <c:f>'Initiation charts'!$I$17:$I$20</c:f>
              <c:numCache>
                <c:formatCode>0.0%</c:formatCode>
                <c:ptCount val="4"/>
                <c:pt idx="0">
                  <c:v>0.14000000000000001</c:v>
                </c:pt>
                <c:pt idx="1">
                  <c:v>5.1999999999999998E-2</c:v>
                </c:pt>
                <c:pt idx="2">
                  <c:v>4.4999999999999998E-2</c:v>
                </c:pt>
                <c:pt idx="3">
                  <c:v>0.76300000000000001</c:v>
                </c:pt>
              </c:numCache>
            </c:numRef>
          </c:val>
          <c:extLst>
            <c:ext xmlns:c16="http://schemas.microsoft.com/office/drawing/2014/chart" uri="{C3380CC4-5D6E-409C-BE32-E72D297353CC}">
              <c16:uniqueId val="{00000014-6722-4C42-89B0-C96EAFF36FDB}"/>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3014638422720149E-2"/>
          <c:y val="6.703469476517096E-2"/>
          <c:w val="0.94412907343847363"/>
          <c:h val="0.74376137478482041"/>
        </c:manualLayout>
      </c:layout>
      <c:barChart>
        <c:barDir val="col"/>
        <c:grouping val="clustered"/>
        <c:varyColors val="0"/>
        <c:ser>
          <c:idx val="0"/>
          <c:order val="0"/>
          <c:tx>
            <c:strRef>
              <c:f>Workings!$B$145</c:f>
              <c:strCache>
                <c:ptCount val="1"/>
                <c:pt idx="0">
                  <c:v>EV/EBITDA</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Workings!$C$137:$D$137</c:f>
              <c:strCache>
                <c:ptCount val="2"/>
                <c:pt idx="0">
                  <c:v>Status quo</c:v>
                </c:pt>
                <c:pt idx="1">
                  <c:v>With 2x Uklon</c:v>
                </c:pt>
              </c:strCache>
            </c:strRef>
          </c:cat>
          <c:val>
            <c:numRef>
              <c:f>Workings!$C$145:$D$145</c:f>
              <c:numCache>
                <c:formatCode>#,##0.0;\(#,##0.0\);"--"_)</c:formatCode>
                <c:ptCount val="2"/>
                <c:pt idx="0">
                  <c:v>4.9144460028609513</c:v>
                </c:pt>
                <c:pt idx="1">
                  <c:v>5.0378597898190609</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min val="0"/>
        </c:scaling>
        <c:delete val="0"/>
        <c:axPos val="l"/>
        <c:numFmt formatCode="#,##0.0;\(#,##0.0\);&quot;--&quot;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993216571016658E-2"/>
          <c:y val="5.9255696765880779E-2"/>
          <c:w val="0.8902398949843161"/>
          <c:h val="0.70598263603507261"/>
        </c:manualLayout>
      </c:layout>
      <c:barChart>
        <c:barDir val="col"/>
        <c:grouping val="stacked"/>
        <c:varyColors val="0"/>
        <c:ser>
          <c:idx val="0"/>
          <c:order val="0"/>
          <c:tx>
            <c:strRef>
              <c:f>Spectrum!$S$7</c:f>
              <c:strCache>
                <c:ptCount val="1"/>
                <c:pt idx="0">
                  <c:v>900 MHz</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Spectrum!$R$8:$R$10</c:f>
              <c:strCache>
                <c:ptCount val="3"/>
                <c:pt idx="0">
                  <c:v>Kyivstar</c:v>
                </c:pt>
                <c:pt idx="1">
                  <c:v>Vodafone Ukraine</c:v>
                </c:pt>
                <c:pt idx="2">
                  <c:v>Lifecell</c:v>
                </c:pt>
              </c:strCache>
            </c:strRef>
          </c:cat>
          <c:val>
            <c:numRef>
              <c:f>Spectrum!$S$8:$S$10</c:f>
              <c:numCache>
                <c:formatCode>General</c:formatCode>
                <c:ptCount val="3"/>
                <c:pt idx="0">
                  <c:v>20</c:v>
                </c:pt>
                <c:pt idx="1">
                  <c:v>15.8</c:v>
                </c:pt>
                <c:pt idx="2">
                  <c:v>11.2</c:v>
                </c:pt>
              </c:numCache>
            </c:numRef>
          </c:val>
          <c:extLst>
            <c:ext xmlns:c16="http://schemas.microsoft.com/office/drawing/2014/chart" uri="{C3380CC4-5D6E-409C-BE32-E72D297353CC}">
              <c16:uniqueId val="{00000001-D509-4433-BBAA-08667D1700F2}"/>
            </c:ext>
          </c:extLst>
        </c:ser>
        <c:ser>
          <c:idx val="1"/>
          <c:order val="1"/>
          <c:tx>
            <c:strRef>
              <c:f>Spectrum!$T$7</c:f>
              <c:strCache>
                <c:ptCount val="1"/>
                <c:pt idx="0">
                  <c:v>1800 MHz</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Spectrum!$R$8:$R$10</c:f>
              <c:strCache>
                <c:ptCount val="3"/>
                <c:pt idx="0">
                  <c:v>Kyivstar</c:v>
                </c:pt>
                <c:pt idx="1">
                  <c:v>Vodafone Ukraine</c:v>
                </c:pt>
                <c:pt idx="2">
                  <c:v>Lifecell</c:v>
                </c:pt>
              </c:strCache>
            </c:strRef>
          </c:cat>
          <c:val>
            <c:numRef>
              <c:f>Spectrum!$T$8:$T$10</c:f>
              <c:numCache>
                <c:formatCode>General</c:formatCode>
                <c:ptCount val="3"/>
                <c:pt idx="0">
                  <c:v>70</c:v>
                </c:pt>
                <c:pt idx="1">
                  <c:v>50</c:v>
                </c:pt>
                <c:pt idx="2">
                  <c:v>30</c:v>
                </c:pt>
              </c:numCache>
            </c:numRef>
          </c:val>
          <c:extLst>
            <c:ext xmlns:c16="http://schemas.microsoft.com/office/drawing/2014/chart" uri="{C3380CC4-5D6E-409C-BE32-E72D297353CC}">
              <c16:uniqueId val="{00000003-D509-4433-BBAA-08667D1700F2}"/>
            </c:ext>
          </c:extLst>
        </c:ser>
        <c:ser>
          <c:idx val="2"/>
          <c:order val="2"/>
          <c:tx>
            <c:strRef>
              <c:f>Spectrum!$U$7</c:f>
              <c:strCache>
                <c:ptCount val="1"/>
                <c:pt idx="0">
                  <c:v>2100 MHz</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Spectrum!$R$8:$R$10</c:f>
              <c:strCache>
                <c:ptCount val="3"/>
                <c:pt idx="0">
                  <c:v>Kyivstar</c:v>
                </c:pt>
                <c:pt idx="1">
                  <c:v>Vodafone Ukraine</c:v>
                </c:pt>
                <c:pt idx="2">
                  <c:v>Lifecell</c:v>
                </c:pt>
              </c:strCache>
            </c:strRef>
          </c:cat>
          <c:val>
            <c:numRef>
              <c:f>Spectrum!$U$8:$U$10</c:f>
              <c:numCache>
                <c:formatCode>General</c:formatCode>
                <c:ptCount val="3"/>
                <c:pt idx="0">
                  <c:v>40</c:v>
                </c:pt>
                <c:pt idx="1">
                  <c:v>40</c:v>
                </c:pt>
                <c:pt idx="2">
                  <c:v>40</c:v>
                </c:pt>
              </c:numCache>
            </c:numRef>
          </c:val>
          <c:extLst>
            <c:ext xmlns:c16="http://schemas.microsoft.com/office/drawing/2014/chart" uri="{C3380CC4-5D6E-409C-BE32-E72D297353CC}">
              <c16:uniqueId val="{00000005-D509-4433-BBAA-08667D1700F2}"/>
            </c:ext>
          </c:extLst>
        </c:ser>
        <c:ser>
          <c:idx val="3"/>
          <c:order val="3"/>
          <c:tx>
            <c:strRef>
              <c:f>Spectrum!$V$7</c:f>
              <c:strCache>
                <c:ptCount val="1"/>
                <c:pt idx="0">
                  <c:v>2300 MHz</c:v>
                </c:pt>
              </c:strCache>
            </c:strRef>
          </c:tx>
          <c:spPr>
            <a:solidFill>
              <a:schemeClr val="accent4"/>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F-A2E1-400A-862D-2C2A42E3F008}"/>
                </c:ext>
              </c:extLst>
            </c:dLbl>
            <c:dLbl>
              <c:idx val="2"/>
              <c:delete val="1"/>
              <c:extLst>
                <c:ext xmlns:c15="http://schemas.microsoft.com/office/drawing/2012/chart" uri="{CE6537A1-D6FC-4f65-9D91-7224C49458BB}"/>
                <c:ext xmlns:c16="http://schemas.microsoft.com/office/drawing/2014/chart" uri="{C3380CC4-5D6E-409C-BE32-E72D297353CC}">
                  <c16:uniqueId val="{0000000E-A2E1-400A-862D-2C2A42E3F0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Spectrum!$R$8:$R$10</c:f>
              <c:strCache>
                <c:ptCount val="3"/>
                <c:pt idx="0">
                  <c:v>Kyivstar</c:v>
                </c:pt>
                <c:pt idx="1">
                  <c:v>Vodafone Ukraine</c:v>
                </c:pt>
                <c:pt idx="2">
                  <c:v>Lifecell</c:v>
                </c:pt>
              </c:strCache>
            </c:strRef>
          </c:cat>
          <c:val>
            <c:numRef>
              <c:f>Spectrum!$V$8:$V$10</c:f>
              <c:numCache>
                <c:formatCode>General</c:formatCode>
                <c:ptCount val="3"/>
                <c:pt idx="0">
                  <c:v>40</c:v>
                </c:pt>
                <c:pt idx="1">
                  <c:v>0</c:v>
                </c:pt>
                <c:pt idx="2">
                  <c:v>0</c:v>
                </c:pt>
              </c:numCache>
            </c:numRef>
          </c:val>
          <c:extLst>
            <c:ext xmlns:c16="http://schemas.microsoft.com/office/drawing/2014/chart" uri="{C3380CC4-5D6E-409C-BE32-E72D297353CC}">
              <c16:uniqueId val="{0000000B-A2E1-400A-862D-2C2A42E3F008}"/>
            </c:ext>
          </c:extLst>
        </c:ser>
        <c:ser>
          <c:idx val="4"/>
          <c:order val="4"/>
          <c:tx>
            <c:strRef>
              <c:f>Spectrum!$W$7</c:f>
              <c:strCache>
                <c:ptCount val="1"/>
                <c:pt idx="0">
                  <c:v>2600 MHz</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Spectrum!$R$8:$R$10</c:f>
              <c:strCache>
                <c:ptCount val="3"/>
                <c:pt idx="0">
                  <c:v>Kyivstar</c:v>
                </c:pt>
                <c:pt idx="1">
                  <c:v>Vodafone Ukraine</c:v>
                </c:pt>
                <c:pt idx="2">
                  <c:v>Lifecell</c:v>
                </c:pt>
              </c:strCache>
            </c:strRef>
          </c:cat>
          <c:val>
            <c:numRef>
              <c:f>Spectrum!$W$8:$W$10</c:f>
              <c:numCache>
                <c:formatCode>General</c:formatCode>
                <c:ptCount val="3"/>
                <c:pt idx="0">
                  <c:v>30</c:v>
                </c:pt>
                <c:pt idx="1">
                  <c:v>55</c:v>
                </c:pt>
                <c:pt idx="2">
                  <c:v>30</c:v>
                </c:pt>
              </c:numCache>
            </c:numRef>
          </c:val>
          <c:extLst>
            <c:ext xmlns:c16="http://schemas.microsoft.com/office/drawing/2014/chart" uri="{C3380CC4-5D6E-409C-BE32-E72D297353CC}">
              <c16:uniqueId val="{0000000C-A2E1-400A-862D-2C2A42E3F008}"/>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5"/>
          <c:order val="5"/>
          <c:tx>
            <c:strRef>
              <c:f>Spectrum!$X$7</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Spectrum!$X$8:$X$10</c:f>
              <c:numCache>
                <c:formatCode>General</c:formatCode>
                <c:ptCount val="3"/>
                <c:pt idx="0">
                  <c:v>200</c:v>
                </c:pt>
                <c:pt idx="1">
                  <c:v>160.80000000000001</c:v>
                </c:pt>
                <c:pt idx="2">
                  <c:v>111.2</c:v>
                </c:pt>
              </c:numCache>
            </c:numRef>
          </c:val>
          <c:smooth val="0"/>
          <c:extLst>
            <c:ext xmlns:c16="http://schemas.microsoft.com/office/drawing/2014/chart" uri="{C3380CC4-5D6E-409C-BE32-E72D297353CC}">
              <c16:uniqueId val="{0000000D-A2E1-400A-862D-2C2A42E3F008}"/>
            </c:ext>
          </c:extLst>
        </c:ser>
        <c:dLbls>
          <c:showLegendKey val="0"/>
          <c:showVal val="0"/>
          <c:showCatName val="0"/>
          <c:showSerName val="0"/>
          <c:showPercent val="0"/>
          <c:showBubbleSize val="0"/>
        </c:dLbls>
        <c:marker val="1"/>
        <c:smooth val="0"/>
        <c:axId val="1153311679"/>
        <c:axId val="1153300639"/>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153300639"/>
        <c:scaling>
          <c:orientation val="minMax"/>
        </c:scaling>
        <c:delete val="1"/>
        <c:axPos val="r"/>
        <c:numFmt formatCode="General" sourceLinked="1"/>
        <c:majorTickMark val="out"/>
        <c:minorTickMark val="none"/>
        <c:tickLblPos val="nextTo"/>
        <c:crossAx val="1153311679"/>
        <c:crosses val="max"/>
        <c:crossBetween val="between"/>
      </c:valAx>
      <c:catAx>
        <c:axId val="1153311679"/>
        <c:scaling>
          <c:orientation val="minMax"/>
        </c:scaling>
        <c:delete val="1"/>
        <c:axPos val="t"/>
        <c:majorTickMark val="out"/>
        <c:minorTickMark val="none"/>
        <c:tickLblPos val="nextTo"/>
        <c:crossAx val="1153300639"/>
        <c:crosses val="max"/>
        <c:auto val="1"/>
        <c:lblAlgn val="ctr"/>
        <c:lblOffset val="100"/>
        <c:noMultiLvlLbl val="0"/>
      </c:cat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Spectrum!$R$16</c:f>
              <c:strCache>
                <c:ptCount val="1"/>
                <c:pt idx="0">
                  <c:v>Kyivstar</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Spectrum!$V$15:$X$15</c:f>
              <c:strCache>
                <c:ptCount val="3"/>
                <c:pt idx="0">
                  <c:v>Revenue Share</c:v>
                </c:pt>
                <c:pt idx="1">
                  <c:v>Subscribers Share</c:v>
                </c:pt>
                <c:pt idx="2">
                  <c:v>Spectrum Share</c:v>
                </c:pt>
              </c:strCache>
            </c:strRef>
          </c:cat>
          <c:val>
            <c:numRef>
              <c:f>Spectrum!$V$16:$X$16</c:f>
              <c:numCache>
                <c:formatCode>0.0%</c:formatCode>
                <c:ptCount val="3"/>
                <c:pt idx="0">
                  <c:v>0.50107544227563583</c:v>
                </c:pt>
                <c:pt idx="1">
                  <c:v>0.47200000000000003</c:v>
                </c:pt>
                <c:pt idx="2">
                  <c:v>0.42372881355932202</c:v>
                </c:pt>
              </c:numCache>
            </c:numRef>
          </c:val>
          <c:extLst>
            <c:ext xmlns:c16="http://schemas.microsoft.com/office/drawing/2014/chart" uri="{C3380CC4-5D6E-409C-BE32-E72D297353CC}">
              <c16:uniqueId val="{00000000-3847-4986-8373-DD0E19E8F0E7}"/>
            </c:ext>
          </c:extLst>
        </c:ser>
        <c:ser>
          <c:idx val="1"/>
          <c:order val="1"/>
          <c:tx>
            <c:strRef>
              <c:f>Spectrum!$R$17</c:f>
              <c:strCache>
                <c:ptCount val="1"/>
                <c:pt idx="0">
                  <c:v>Vodafone Ukraine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Spectrum!$V$15:$X$15</c:f>
              <c:strCache>
                <c:ptCount val="3"/>
                <c:pt idx="0">
                  <c:v>Revenue Share</c:v>
                </c:pt>
                <c:pt idx="1">
                  <c:v>Subscribers Share</c:v>
                </c:pt>
                <c:pt idx="2">
                  <c:v>Spectrum Share</c:v>
                </c:pt>
              </c:strCache>
            </c:strRef>
          </c:cat>
          <c:val>
            <c:numRef>
              <c:f>Spectrum!$V$17:$X$17</c:f>
              <c:numCache>
                <c:formatCode>0.0%</c:formatCode>
                <c:ptCount val="3"/>
                <c:pt idx="0">
                  <c:v>0.32857450126364468</c:v>
                </c:pt>
                <c:pt idx="1">
                  <c:v>0.32400000000000007</c:v>
                </c:pt>
                <c:pt idx="2">
                  <c:v>0.34067796610169493</c:v>
                </c:pt>
              </c:numCache>
            </c:numRef>
          </c:val>
          <c:extLst>
            <c:ext xmlns:c16="http://schemas.microsoft.com/office/drawing/2014/chart" uri="{C3380CC4-5D6E-409C-BE32-E72D297353CC}">
              <c16:uniqueId val="{00000002-3847-4986-8373-DD0E19E8F0E7}"/>
            </c:ext>
          </c:extLst>
        </c:ser>
        <c:ser>
          <c:idx val="2"/>
          <c:order val="2"/>
          <c:tx>
            <c:strRef>
              <c:f>Spectrum!$R$18</c:f>
              <c:strCache>
                <c:ptCount val="1"/>
                <c:pt idx="0">
                  <c:v>Lifecell</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Spectrum!$V$15:$X$15</c:f>
              <c:strCache>
                <c:ptCount val="3"/>
                <c:pt idx="0">
                  <c:v>Revenue Share</c:v>
                </c:pt>
                <c:pt idx="1">
                  <c:v>Subscribers Share</c:v>
                </c:pt>
                <c:pt idx="2">
                  <c:v>Spectrum Share</c:v>
                </c:pt>
              </c:strCache>
            </c:strRef>
          </c:cat>
          <c:val>
            <c:numRef>
              <c:f>Spectrum!$V$18:$X$18</c:f>
              <c:numCache>
                <c:formatCode>0.0%</c:formatCode>
                <c:ptCount val="3"/>
                <c:pt idx="0">
                  <c:v>0.17035005646071946</c:v>
                </c:pt>
                <c:pt idx="1">
                  <c:v>0.20399999999999996</c:v>
                </c:pt>
                <c:pt idx="2">
                  <c:v>0.23559322033898306</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Prepaid</c:v>
          </c:tx>
          <c:spPr>
            <a:solidFill>
              <a:srgbClr val="263238"/>
            </a:solidFill>
            <a:ln>
              <a:noFill/>
            </a:ln>
            <a:effectLst/>
          </c:spPr>
          <c:invertIfNegative val="0"/>
          <c:dPt>
            <c:idx val="2"/>
            <c:invertIfNegative val="0"/>
            <c:bubble3D val="0"/>
            <c:spPr>
              <a:solidFill>
                <a:srgbClr val="799098"/>
              </a:solidFill>
              <a:ln>
                <a:noFill/>
              </a:ln>
              <a:effectLst/>
            </c:spPr>
            <c:extLst>
              <c:ext xmlns:c16="http://schemas.microsoft.com/office/drawing/2014/chart" uri="{C3380CC4-5D6E-409C-BE32-E72D297353CC}">
                <c16:uniqueId val="{0000000E-1441-46AD-84EF-F1FD802D0837}"/>
              </c:ext>
            </c:extLst>
          </c:dPt>
          <c:dPt>
            <c:idx val="3"/>
            <c:invertIfNegative val="0"/>
            <c:bubble3D val="0"/>
            <c:spPr>
              <a:solidFill>
                <a:srgbClr val="F9663E"/>
              </a:solidFill>
              <a:ln>
                <a:noFill/>
              </a:ln>
              <a:effectLst/>
            </c:spPr>
            <c:extLst>
              <c:ext xmlns:c16="http://schemas.microsoft.com/office/drawing/2014/chart" uri="{C3380CC4-5D6E-409C-BE32-E72D297353CC}">
                <c16:uniqueId val="{00000010-1441-46AD-84EF-F1FD802D0837}"/>
              </c:ext>
            </c:extLst>
          </c:dPt>
          <c:dPt>
            <c:idx val="7"/>
            <c:invertIfNegative val="0"/>
            <c:bubble3D val="0"/>
            <c:spPr>
              <a:solidFill>
                <a:srgbClr val="799098"/>
              </a:solidFill>
              <a:ln>
                <a:noFill/>
              </a:ln>
              <a:effectLst/>
            </c:spPr>
            <c:extLst>
              <c:ext xmlns:c16="http://schemas.microsoft.com/office/drawing/2014/chart" uri="{C3380CC4-5D6E-409C-BE32-E72D297353CC}">
                <c16:uniqueId val="{0000000F-1441-46AD-84EF-F1FD802D0837}"/>
              </c:ext>
            </c:extLst>
          </c:dPt>
          <c:dPt>
            <c:idx val="11"/>
            <c:invertIfNegative val="0"/>
            <c:bubble3D val="0"/>
            <c:spPr>
              <a:solidFill>
                <a:srgbClr val="799098"/>
              </a:solidFill>
              <a:ln>
                <a:noFill/>
              </a:ln>
              <a:effectLst/>
            </c:spPr>
            <c:extLst>
              <c:ext xmlns:c16="http://schemas.microsoft.com/office/drawing/2014/chart" uri="{C3380CC4-5D6E-409C-BE32-E72D297353CC}">
                <c16:uniqueId val="{0000000D-1441-46AD-84EF-F1FD802D0837}"/>
              </c:ext>
            </c:extLst>
          </c:dPt>
          <c:dPt>
            <c:idx val="12"/>
            <c:invertIfNegative val="0"/>
            <c:bubble3D val="0"/>
            <c:spPr>
              <a:solidFill>
                <a:srgbClr val="F9663E"/>
              </a:solidFill>
              <a:ln>
                <a:noFill/>
              </a:ln>
              <a:effectLst/>
            </c:spPr>
            <c:extLst>
              <c:ext xmlns:c16="http://schemas.microsoft.com/office/drawing/2014/chart" uri="{C3380CC4-5D6E-409C-BE32-E72D297353CC}">
                <c16:uniqueId val="{00000011-1441-46AD-84EF-F1FD802D0837}"/>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 plans'!$R$9:$S$21</c:f>
              <c:multiLvlStrCache>
                <c:ptCount val="13"/>
                <c:lvl>
                  <c:pt idx="1">
                    <c:v>Kyivstar</c:v>
                  </c:pt>
                  <c:pt idx="2">
                    <c:v>Vodafone Ukraine</c:v>
                  </c:pt>
                  <c:pt idx="3">
                    <c:v>Lifecell</c:v>
                  </c:pt>
                  <c:pt idx="6">
                    <c:v>Kyivstar</c:v>
                  </c:pt>
                  <c:pt idx="7">
                    <c:v>Vodafone Ukraine</c:v>
                  </c:pt>
                  <c:pt idx="10">
                    <c:v>Kyivstar</c:v>
                  </c:pt>
                  <c:pt idx="11">
                    <c:v>Vodafone Ukraine</c:v>
                  </c:pt>
                  <c:pt idx="12">
                    <c:v>Lifecell</c:v>
                  </c:pt>
                </c:lvl>
                <c:lvl>
                  <c:pt idx="0">
                    <c:v>Acquisition pack</c:v>
                  </c:pt>
                  <c:pt idx="5">
                    <c:v>Mid pack</c:v>
                  </c:pt>
                  <c:pt idx="9">
                    <c:v>Large pack</c:v>
                  </c:pt>
                </c:lvl>
              </c:multiLvlStrCache>
            </c:multiLvlStrRef>
          </c:cat>
          <c:val>
            <c:numRef>
              <c:f>'Price plans'!$T$9:$T$21</c:f>
              <c:numCache>
                <c:formatCode>#,##0;\(#,##0\);"--"_)</c:formatCode>
                <c:ptCount val="13"/>
                <c:pt idx="1">
                  <c:v>220</c:v>
                </c:pt>
                <c:pt idx="2">
                  <c:v>200</c:v>
                </c:pt>
                <c:pt idx="3">
                  <c:v>190</c:v>
                </c:pt>
                <c:pt idx="6">
                  <c:v>350</c:v>
                </c:pt>
                <c:pt idx="7">
                  <c:v>270</c:v>
                </c:pt>
                <c:pt idx="10">
                  <c:v>500</c:v>
                </c:pt>
                <c:pt idx="11">
                  <c:v>500</c:v>
                </c:pt>
                <c:pt idx="12">
                  <c:v>350</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Pt>
            <c:idx val="24"/>
            <c:invertIfNegative val="0"/>
            <c:bubble3D val="0"/>
            <c:spPr>
              <a:solidFill>
                <a:srgbClr val="F9663E"/>
              </a:solidFill>
              <a:ln>
                <a:noFill/>
              </a:ln>
              <a:effectLst/>
            </c:spPr>
            <c:extLst>
              <c:ext xmlns:c16="http://schemas.microsoft.com/office/drawing/2014/chart" uri="{C3380CC4-5D6E-409C-BE32-E72D297353CC}">
                <c16:uniqueId val="{00000001-B714-4D9A-B124-A21211048B40}"/>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Comps!$W$10:$W$34</c:f>
              <c:strCache>
                <c:ptCount val="25"/>
                <c:pt idx="0">
                  <c:v>China Mobile</c:v>
                </c:pt>
                <c:pt idx="1">
                  <c:v>China Telecom</c:v>
                </c:pt>
                <c:pt idx="2">
                  <c:v>China Unicom</c:v>
                </c:pt>
                <c:pt idx="3">
                  <c:v>SingTel</c:v>
                </c:pt>
                <c:pt idx="4">
                  <c:v>SK Telecom</c:v>
                </c:pt>
                <c:pt idx="5">
                  <c:v>KT Corp</c:v>
                </c:pt>
                <c:pt idx="6">
                  <c:v>LG Uplus</c:v>
                </c:pt>
                <c:pt idx="7">
                  <c:v>Bharti Airtel</c:v>
                </c:pt>
                <c:pt idx="8">
                  <c:v>Vodafone IDEA</c:v>
                </c:pt>
                <c:pt idx="9">
                  <c:v>Telkom Indonesia</c:v>
                </c:pt>
                <c:pt idx="10">
                  <c:v>Indosat</c:v>
                </c:pt>
                <c:pt idx="11">
                  <c:v>XL Axiata</c:v>
                </c:pt>
                <c:pt idx="12">
                  <c:v>Maxis</c:v>
                </c:pt>
                <c:pt idx="13">
                  <c:v>CelcomDigi</c:v>
                </c:pt>
                <c:pt idx="14">
                  <c:v>Axiata</c:v>
                </c:pt>
                <c:pt idx="15">
                  <c:v>AIS</c:v>
                </c:pt>
                <c:pt idx="16">
                  <c:v>TRUE Corp</c:v>
                </c:pt>
                <c:pt idx="17">
                  <c:v>VEON</c:v>
                </c:pt>
                <c:pt idx="18">
                  <c:v>Airtel Africa</c:v>
                </c:pt>
                <c:pt idx="19">
                  <c:v>MTN</c:v>
                </c:pt>
                <c:pt idx="20">
                  <c:v>Safaricom</c:v>
                </c:pt>
                <c:pt idx="21">
                  <c:v>Vodacom</c:v>
                </c:pt>
                <c:pt idx="22">
                  <c:v>America Movil</c:v>
                </c:pt>
                <c:pt idx="23">
                  <c:v>LiLAC</c:v>
                </c:pt>
                <c:pt idx="24">
                  <c:v>Millicom</c:v>
                </c:pt>
              </c:strCache>
            </c:strRef>
          </c:cat>
          <c:val>
            <c:numRef>
              <c:f>Comps!$X$10:$X$34</c:f>
              <c:numCache>
                <c:formatCode>0.0</c:formatCode>
                <c:ptCount val="25"/>
                <c:pt idx="0">
                  <c:v>3.9627039622122524</c:v>
                </c:pt>
                <c:pt idx="1">
                  <c:v>2.0234127673900923</c:v>
                </c:pt>
                <c:pt idx="2">
                  <c:v>1.7078854381307822</c:v>
                </c:pt>
                <c:pt idx="3">
                  <c:v>4.0727756943312139</c:v>
                </c:pt>
                <c:pt idx="4">
                  <c:v>4.3337254822124587</c:v>
                </c:pt>
                <c:pt idx="5">
                  <c:v>2.6273001371650371</c:v>
                </c:pt>
                <c:pt idx="6">
                  <c:v>3.6809397248904756</c:v>
                </c:pt>
                <c:pt idx="7">
                  <c:v>12.336023101065468</c:v>
                </c:pt>
                <c:pt idx="8">
                  <c:v>15.296953679605446</c:v>
                </c:pt>
                <c:pt idx="9">
                  <c:v>7.766220650864252</c:v>
                </c:pt>
                <c:pt idx="10">
                  <c:v>4.0804974309330557</c:v>
                </c:pt>
                <c:pt idx="11">
                  <c:v>6.2318674172790827</c:v>
                </c:pt>
                <c:pt idx="12">
                  <c:v>9.0681687107331985</c:v>
                </c:pt>
                <c:pt idx="13">
                  <c:v>9.1851171361886923</c:v>
                </c:pt>
                <c:pt idx="14">
                  <c:v>5.7040536351547582</c:v>
                </c:pt>
                <c:pt idx="15">
                  <c:v>7.3490824834213253</c:v>
                </c:pt>
                <c:pt idx="16">
                  <c:v>7.6642962779703634</c:v>
                </c:pt>
                <c:pt idx="17">
                  <c:v>4.482477015714518</c:v>
                </c:pt>
                <c:pt idx="18">
                  <c:v>8.2435718303534635</c:v>
                </c:pt>
                <c:pt idx="19">
                  <c:v>6.2546096310415091</c:v>
                </c:pt>
                <c:pt idx="20">
                  <c:v>5.5990467942438977</c:v>
                </c:pt>
                <c:pt idx="21">
                  <c:v>6.7909993616247419</c:v>
                </c:pt>
                <c:pt idx="22">
                  <c:v>5.4903925925851285</c:v>
                </c:pt>
                <c:pt idx="23">
                  <c:v>6.1203607017506387</c:v>
                </c:pt>
                <c:pt idx="24">
                  <c:v>6.4289611217866307</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Pt>
            <c:idx val="24"/>
            <c:invertIfNegative val="0"/>
            <c:bubble3D val="0"/>
            <c:spPr>
              <a:solidFill>
                <a:srgbClr val="F9663E"/>
              </a:solidFill>
              <a:ln>
                <a:noFill/>
              </a:ln>
              <a:effectLst/>
            </c:spPr>
            <c:extLst>
              <c:ext xmlns:c16="http://schemas.microsoft.com/office/drawing/2014/chart" uri="{C3380CC4-5D6E-409C-BE32-E72D297353CC}">
                <c16:uniqueId val="{00000001-AF64-4DF3-A068-4E6344D04F5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Comps!$BJ$10:$BJ$34</c:f>
              <c:strCache>
                <c:ptCount val="25"/>
                <c:pt idx="0">
                  <c:v>China Unicom</c:v>
                </c:pt>
                <c:pt idx="1">
                  <c:v>China Telecom</c:v>
                </c:pt>
                <c:pt idx="2">
                  <c:v>TIM Participacoes</c:v>
                </c:pt>
                <c:pt idx="3">
                  <c:v>XL Axiata</c:v>
                </c:pt>
                <c:pt idx="4">
                  <c:v>China Mobile</c:v>
                </c:pt>
                <c:pt idx="5">
                  <c:v>Indosat</c:v>
                </c:pt>
                <c:pt idx="6">
                  <c:v>VEON</c:v>
                </c:pt>
                <c:pt idx="7">
                  <c:v>Vivo</c:v>
                </c:pt>
                <c:pt idx="8">
                  <c:v>Axiata</c:v>
                </c:pt>
                <c:pt idx="9">
                  <c:v>America Movil</c:v>
                </c:pt>
                <c:pt idx="10">
                  <c:v>Safaricom</c:v>
                </c:pt>
                <c:pt idx="11">
                  <c:v>Liberty Latin America</c:v>
                </c:pt>
                <c:pt idx="12">
                  <c:v>Millicom</c:v>
                </c:pt>
                <c:pt idx="13">
                  <c:v>MTN</c:v>
                </c:pt>
                <c:pt idx="14">
                  <c:v>Telkom Indonesia</c:v>
                </c:pt>
                <c:pt idx="15">
                  <c:v>Vodacom</c:v>
                </c:pt>
                <c:pt idx="16">
                  <c:v>Airtel Africa</c:v>
                </c:pt>
                <c:pt idx="17">
                  <c:v>TRUE</c:v>
                </c:pt>
                <c:pt idx="18">
                  <c:v>Maxis</c:v>
                </c:pt>
                <c:pt idx="19">
                  <c:v>AIS</c:v>
                </c:pt>
                <c:pt idx="20">
                  <c:v>CelcomDigi</c:v>
                </c:pt>
                <c:pt idx="21">
                  <c:v>Bharti Airtel</c:v>
                </c:pt>
                <c:pt idx="22">
                  <c:v>Vodafone IDEA</c:v>
                </c:pt>
                <c:pt idx="24">
                  <c:v>Kyivstar </c:v>
                </c:pt>
              </c:strCache>
            </c:strRef>
          </c:cat>
          <c:val>
            <c:numRef>
              <c:f>Comps!$BK$10:$BK$34</c:f>
              <c:numCache>
                <c:formatCode>0.0</c:formatCode>
                <c:ptCount val="25"/>
                <c:pt idx="0">
                  <c:v>1.6071821932462576</c:v>
                </c:pt>
                <c:pt idx="1">
                  <c:v>1.9509989634192233</c:v>
                </c:pt>
                <c:pt idx="2">
                  <c:v>3.1759041005966133</c:v>
                </c:pt>
                <c:pt idx="3">
                  <c:v>3.8947768900483721</c:v>
                </c:pt>
                <c:pt idx="4">
                  <c:v>3.8962515446183161</c:v>
                </c:pt>
                <c:pt idx="5">
                  <c:v>3.9777582980448614</c:v>
                </c:pt>
                <c:pt idx="6">
                  <c:v>4.2771156122186946</c:v>
                </c:pt>
                <c:pt idx="7">
                  <c:v>4.3908166502734147</c:v>
                </c:pt>
                <c:pt idx="8">
                  <c:v>4.8277852096078844</c:v>
                </c:pt>
                <c:pt idx="9">
                  <c:v>4.8754735366407873</c:v>
                </c:pt>
                <c:pt idx="10">
                  <c:v>5.3351485160376546</c:v>
                </c:pt>
                <c:pt idx="11">
                  <c:v>5.7004130847548629</c:v>
                </c:pt>
                <c:pt idx="12">
                  <c:v>5.7438966023796318</c:v>
                </c:pt>
                <c:pt idx="13">
                  <c:v>6.4398086501735818</c:v>
                </c:pt>
                <c:pt idx="14">
                  <c:v>6.5503174039084175</c:v>
                </c:pt>
                <c:pt idx="15">
                  <c:v>6.9107785701461388</c:v>
                </c:pt>
                <c:pt idx="16">
                  <c:v>7.2880992942480027</c:v>
                </c:pt>
                <c:pt idx="17">
                  <c:v>7.3807759669378896</c:v>
                </c:pt>
                <c:pt idx="18">
                  <c:v>8.4194528541429658</c:v>
                </c:pt>
                <c:pt idx="19">
                  <c:v>8.5290029398665794</c:v>
                </c:pt>
                <c:pt idx="20">
                  <c:v>9.4082975941296958</c:v>
                </c:pt>
                <c:pt idx="21">
                  <c:v>12.271011336183793</c:v>
                </c:pt>
                <c:pt idx="22">
                  <c:v>14.110738615920308</c:v>
                </c:pt>
                <c:pt idx="24">
                  <c:v>4.9144460028609513</c:v>
                </c:pt>
              </c:numCache>
            </c:numRef>
          </c:val>
          <c:extLst>
            <c:ext xmlns:c16="http://schemas.microsoft.com/office/drawing/2014/chart" uri="{C3380CC4-5D6E-409C-BE32-E72D297353CC}">
              <c16:uniqueId val="{00000000-3847-4986-8373-DD0E19E8F0E7}"/>
            </c:ext>
          </c:extLst>
        </c:ser>
        <c:dLbls>
          <c:dLblPos val="out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spPr>
            <a:ln w="28575" cap="rnd">
              <a:solidFill>
                <a:srgbClr val="263238"/>
              </a:solidFill>
              <a:round/>
            </a:ln>
            <a:effectLst/>
          </c:spPr>
          <c:marker>
            <c:symbol val="none"/>
          </c:marker>
          <c:cat>
            <c:numRef>
              <c:f>FX!$C$9:$C$160</c:f>
              <c:numCache>
                <c:formatCode>dd/mm/yy</c:formatCode>
                <c:ptCount val="1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numCache>
            </c:numRef>
          </c:cat>
          <c:val>
            <c:numRef>
              <c:f>FX!$D$9:$D$160</c:f>
              <c:numCache>
                <c:formatCode>General</c:formatCode>
                <c:ptCount val="152"/>
                <c:pt idx="0" formatCode="0.0">
                  <c:v>0</c:v>
                </c:pt>
              </c:numCache>
            </c:numRef>
          </c:val>
          <c:smooth val="0"/>
          <c:extLst>
            <c:ext xmlns:c16="http://schemas.microsoft.com/office/drawing/2014/chart" uri="{C3380CC4-5D6E-409C-BE32-E72D297353CC}">
              <c16:uniqueId val="{00000000-96AF-4D4E-A9CA-D5AA75EDF64E}"/>
            </c:ext>
          </c:extLst>
        </c:ser>
        <c:dLbls>
          <c:showLegendKey val="0"/>
          <c:showVal val="0"/>
          <c:showCatName val="0"/>
          <c:showSerName val="0"/>
          <c:showPercent val="0"/>
          <c:showBubbleSize val="0"/>
        </c:dLbls>
        <c:smooth val="0"/>
        <c:axId val="1495160607"/>
        <c:axId val="1495161855"/>
      </c:lineChart>
      <c:dateAx>
        <c:axId val="1495160607"/>
        <c:scaling>
          <c:orientation val="minMax"/>
        </c:scaling>
        <c:delete val="0"/>
        <c:axPos val="b"/>
        <c:numFmt formatCode="dd/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Offset val="100"/>
        <c:baseTimeUnit val="days"/>
        <c:majorUnit val="1"/>
        <c:majorTimeUnit val="months"/>
      </c:date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2"/>
          <c:order val="0"/>
          <c:tx>
            <c:strRef>
              <c:f>'Initiation charts'!$C$30</c:f>
              <c:strCache>
                <c:ptCount val="1"/>
                <c:pt idx="0">
                  <c:v>Lifecell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charts'!$C$27</c:f>
              <c:strCache>
                <c:ptCount val="1"/>
                <c:pt idx="0">
                  <c:v>Network quality</c:v>
                </c:pt>
              </c:strCache>
            </c:strRef>
          </c:cat>
          <c:val>
            <c:numRef>
              <c:f>'Initiation charts'!$D$30</c:f>
              <c:numCache>
                <c:formatCode>General</c:formatCode>
                <c:ptCount val="1"/>
                <c:pt idx="0">
                  <c:v>29.42</c:v>
                </c:pt>
              </c:numCache>
            </c:numRef>
          </c:val>
          <c:extLst>
            <c:ext xmlns:c16="http://schemas.microsoft.com/office/drawing/2014/chart" uri="{C3380CC4-5D6E-409C-BE32-E72D297353CC}">
              <c16:uniqueId val="{0000000A-2597-42D6-BB56-680131A04C26}"/>
            </c:ext>
          </c:extLst>
        </c:ser>
        <c:ser>
          <c:idx val="1"/>
          <c:order val="1"/>
          <c:tx>
            <c:strRef>
              <c:f>'Initiation charts'!$C$29</c:f>
              <c:strCache>
                <c:ptCount val="1"/>
                <c:pt idx="0">
                  <c:v>Vodafone Ukraine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charts'!$C$27</c:f>
              <c:strCache>
                <c:ptCount val="1"/>
                <c:pt idx="0">
                  <c:v>Network quality</c:v>
                </c:pt>
              </c:strCache>
            </c:strRef>
          </c:cat>
          <c:val>
            <c:numRef>
              <c:f>'Initiation charts'!$D$29</c:f>
              <c:numCache>
                <c:formatCode>General</c:formatCode>
                <c:ptCount val="1"/>
                <c:pt idx="0">
                  <c:v>33.380000000000003</c:v>
                </c:pt>
              </c:numCache>
            </c:numRef>
          </c:val>
          <c:extLst>
            <c:ext xmlns:c16="http://schemas.microsoft.com/office/drawing/2014/chart" uri="{C3380CC4-5D6E-409C-BE32-E72D297353CC}">
              <c16:uniqueId val="{00000009-2597-42D6-BB56-680131A04C26}"/>
            </c:ext>
          </c:extLst>
        </c:ser>
        <c:ser>
          <c:idx val="0"/>
          <c:order val="2"/>
          <c:tx>
            <c:strRef>
              <c:f>'Initiation charts'!$C$28</c:f>
              <c:strCache>
                <c:ptCount val="1"/>
                <c:pt idx="0">
                  <c:v>Kyivstar</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charts'!$C$27</c:f>
              <c:strCache>
                <c:ptCount val="1"/>
                <c:pt idx="0">
                  <c:v>Network quality</c:v>
                </c:pt>
              </c:strCache>
            </c:strRef>
          </c:cat>
          <c:val>
            <c:numRef>
              <c:f>'Initiation charts'!$D$28</c:f>
              <c:numCache>
                <c:formatCode>General</c:formatCode>
                <c:ptCount val="1"/>
                <c:pt idx="0">
                  <c:v>35.65</c:v>
                </c:pt>
              </c:numCache>
            </c:numRef>
          </c:val>
          <c:extLst>
            <c:ext xmlns:c16="http://schemas.microsoft.com/office/drawing/2014/chart" uri="{C3380CC4-5D6E-409C-BE32-E72D297353CC}">
              <c16:uniqueId val="{00000001-15C3-43BE-B497-4969F68919AC}"/>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1"/>
        <c:axPos val="l"/>
        <c:numFmt formatCode="General" sourceLinked="1"/>
        <c:majorTickMark val="none"/>
        <c:minorTickMark val="none"/>
        <c:tickLblPos val="nextTo"/>
        <c:crossAx val="1495161855"/>
        <c:crosses val="autoZero"/>
        <c:auto val="1"/>
        <c:lblAlgn val="ctr"/>
        <c:lblOffset val="100"/>
        <c:noMultiLvlLbl val="0"/>
      </c:catAx>
      <c:valAx>
        <c:axId val="1495161855"/>
        <c:scaling>
          <c:orientation val="minMax"/>
        </c:scaling>
        <c:delete val="1"/>
        <c:axPos val="b"/>
        <c:numFmt formatCode="General"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Pt>
            <c:idx val="1"/>
            <c:invertIfNegative val="0"/>
            <c:bubble3D val="0"/>
            <c:spPr>
              <a:solidFill>
                <a:srgbClr val="799098"/>
              </a:solidFill>
              <a:ln>
                <a:noFill/>
              </a:ln>
              <a:effectLst/>
            </c:spPr>
            <c:extLst>
              <c:ext xmlns:c16="http://schemas.microsoft.com/office/drawing/2014/chart" uri="{C3380CC4-5D6E-409C-BE32-E72D297353CC}">
                <c16:uniqueId val="{0000000B-822F-4CDD-AAB3-3F6C257D8E7E}"/>
              </c:ext>
            </c:extLst>
          </c:dPt>
          <c:dPt>
            <c:idx val="2"/>
            <c:invertIfNegative val="0"/>
            <c:bubble3D val="0"/>
            <c:spPr>
              <a:solidFill>
                <a:srgbClr val="F9663E"/>
              </a:solidFill>
              <a:ln>
                <a:noFill/>
              </a:ln>
              <a:effectLst/>
            </c:spPr>
            <c:extLst>
              <c:ext xmlns:c16="http://schemas.microsoft.com/office/drawing/2014/chart" uri="{C3380CC4-5D6E-409C-BE32-E72D297353CC}">
                <c16:uniqueId val="{0000000C-822F-4CDD-AAB3-3F6C257D8E7E}"/>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charts'!$C$33:$C$35</c:f>
              <c:strCache>
                <c:ptCount val="3"/>
                <c:pt idx="0">
                  <c:v>Kyivstar</c:v>
                </c:pt>
                <c:pt idx="1">
                  <c:v>Vodafone Ukraine</c:v>
                </c:pt>
                <c:pt idx="2">
                  <c:v>Lifecell</c:v>
                </c:pt>
              </c:strCache>
            </c:strRef>
          </c:cat>
          <c:val>
            <c:numRef>
              <c:f>'Initiation charts'!$D$33:$D$35</c:f>
              <c:numCache>
                <c:formatCode>0%</c:formatCode>
                <c:ptCount val="3"/>
                <c:pt idx="0">
                  <c:v>0.96</c:v>
                </c:pt>
                <c:pt idx="1">
                  <c:v>0.84</c:v>
                </c:pt>
                <c:pt idx="2">
                  <c:v>0.77</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'Initiation charts'!$C$23:$C$24</c:f>
              <c:strCache>
                <c:ptCount val="2"/>
                <c:pt idx="0">
                  <c:v>Fixed mobile convergence</c:v>
                </c:pt>
                <c:pt idx="1">
                  <c:v>OTT TV</c:v>
                </c:pt>
              </c:strCache>
            </c:strRef>
          </c:cat>
          <c:val>
            <c:numRef>
              <c:f>'Initiation charts'!$E$23:$E$24</c:f>
              <c:numCache>
                <c:formatCode>0%</c:formatCode>
                <c:ptCount val="2"/>
                <c:pt idx="0">
                  <c:v>0.83</c:v>
                </c:pt>
                <c:pt idx="1">
                  <c:v>0.35</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089645632930008E-2"/>
          <c:y val="3.6674428297642343E-2"/>
          <c:w val="0.91897716719121525"/>
          <c:h val="0.76635469338028173"/>
        </c:manualLayout>
      </c:layout>
      <c:barChart>
        <c:barDir val="col"/>
        <c:grouping val="clustered"/>
        <c:varyColors val="0"/>
        <c:ser>
          <c:idx val="0"/>
          <c:order val="0"/>
          <c:tx>
            <c:strRef>
              <c:f>'Initiation charts'!$C$71</c:f>
              <c:strCache>
                <c:ptCount val="1"/>
                <c:pt idx="0">
                  <c:v>Kyivstar TV MAU</c:v>
                </c:pt>
              </c:strCache>
            </c:strRef>
          </c:tx>
          <c:spPr>
            <a:solidFill>
              <a:srgbClr val="263238"/>
            </a:solidFill>
            <a:ln>
              <a:solidFill>
                <a:srgbClr val="263238"/>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charts'!$D$70:$Q$70</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charts'!$D$71:$Q$71</c:f>
              <c:numCache>
                <c:formatCode>0.0</c:formatCode>
                <c:ptCount val="14"/>
                <c:pt idx="0">
                  <c:v>1.0970464135021096</c:v>
                </c:pt>
                <c:pt idx="1">
                  <c:v>1.3</c:v>
                </c:pt>
                <c:pt idx="2">
                  <c:v>2</c:v>
                </c:pt>
                <c:pt idx="3">
                  <c:v>2.2999999999999998</c:v>
                </c:pt>
                <c:pt idx="4">
                  <c:v>2.5999999999999996</c:v>
                </c:pt>
                <c:pt idx="5">
                  <c:v>2.8999999999999995</c:v>
                </c:pt>
                <c:pt idx="6">
                  <c:v>3.1999999999999993</c:v>
                </c:pt>
                <c:pt idx="7">
                  <c:v>3.4999999999999991</c:v>
                </c:pt>
                <c:pt idx="8">
                  <c:v>3.7999999999999989</c:v>
                </c:pt>
                <c:pt idx="9">
                  <c:v>4.0999999999999988</c:v>
                </c:pt>
                <c:pt idx="10">
                  <c:v>4.3999999999999986</c:v>
                </c:pt>
                <c:pt idx="11">
                  <c:v>4.6999999999999984</c:v>
                </c:pt>
                <c:pt idx="12">
                  <c:v>4.9999999999999982</c:v>
                </c:pt>
                <c:pt idx="13">
                  <c:v>5.299999999999998</c:v>
                </c:pt>
              </c:numCache>
            </c:numRef>
          </c:val>
          <c:extLst>
            <c:ext xmlns:c16="http://schemas.microsoft.com/office/drawing/2014/chart" uri="{C3380CC4-5D6E-409C-BE32-E72D297353CC}">
              <c16:uniqueId val="{00000000-96AF-4D4E-A9CA-D5AA75EDF64E}"/>
            </c:ext>
          </c:extLst>
        </c:ser>
        <c:dLbls>
          <c:showLegendKey val="0"/>
          <c:showVal val="0"/>
          <c:showCatName val="0"/>
          <c:showSerName val="0"/>
          <c:showPercent val="0"/>
          <c:showBubbleSize val="0"/>
        </c:dLbls>
        <c:gapWidth val="150"/>
        <c:axId val="1495160607"/>
        <c:axId val="1495161855"/>
      </c:barChart>
      <c:lineChart>
        <c:grouping val="standard"/>
        <c:varyColors val="0"/>
        <c:ser>
          <c:idx val="1"/>
          <c:order val="1"/>
          <c:tx>
            <c:strRef>
              <c:f>'Initiation charts'!$C$72</c:f>
              <c:strCache>
                <c:ptCount val="1"/>
                <c:pt idx="0">
                  <c:v>Kyivstar TV MAU as % of Pop</c:v>
                </c:pt>
              </c:strCache>
            </c:strRef>
          </c:tx>
          <c:spPr>
            <a:ln w="28575" cap="rnd">
              <a:solidFill>
                <a:srgbClr val="F9663E"/>
              </a:solidFill>
              <a:prstDash val="dash"/>
              <a:round/>
            </a:ln>
            <a:effectLst/>
          </c:spPr>
          <c:marker>
            <c:symbol val="none"/>
          </c:marker>
          <c:dLbls>
            <c:spPr>
              <a:solidFill>
                <a:srgbClr val="F19375"/>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charts'!$D$70:$Q$70</c:f>
              <c:numCache>
                <c:formatCode>General</c:formatCode>
                <c:ptCount val="14"/>
                <c:pt idx="0">
                  <c:v>2022</c:v>
                </c:pt>
                <c:pt idx="1">
                  <c:v>2023</c:v>
                </c:pt>
                <c:pt idx="2">
                  <c:v>2024</c:v>
                </c:pt>
                <c:pt idx="3" formatCode="####&quot;E&quot;">
                  <c:v>2025</c:v>
                </c:pt>
                <c:pt idx="4" formatCode="####&quot;E&quot;">
                  <c:v>2026</c:v>
                </c:pt>
                <c:pt idx="5" formatCode="####&quot;E&quot;">
                  <c:v>2027</c:v>
                </c:pt>
                <c:pt idx="6" formatCode="####&quot;E&quot;">
                  <c:v>2028</c:v>
                </c:pt>
                <c:pt idx="7" formatCode="####&quot;E&quot;">
                  <c:v>2029</c:v>
                </c:pt>
                <c:pt idx="8" formatCode="####&quot;E&quot;">
                  <c:v>2030</c:v>
                </c:pt>
                <c:pt idx="9" formatCode="####&quot;E&quot;">
                  <c:v>2031</c:v>
                </c:pt>
                <c:pt idx="10" formatCode="####&quot;E&quot;">
                  <c:v>2032</c:v>
                </c:pt>
                <c:pt idx="11" formatCode="####&quot;E&quot;">
                  <c:v>2033</c:v>
                </c:pt>
                <c:pt idx="12" formatCode="####&quot;E&quot;">
                  <c:v>2034</c:v>
                </c:pt>
                <c:pt idx="13" formatCode="####&quot;E&quot;">
                  <c:v>2035</c:v>
                </c:pt>
              </c:numCache>
            </c:numRef>
          </c:cat>
          <c:val>
            <c:numRef>
              <c:f>'Initiation charts'!$D$72:$Q$72</c:f>
              <c:numCache>
                <c:formatCode>0.0%</c:formatCode>
                <c:ptCount val="14"/>
                <c:pt idx="0">
                  <c:v>2.6725441965834235E-2</c:v>
                </c:pt>
                <c:pt idx="1">
                  <c:v>3.4452750914349503E-2</c:v>
                </c:pt>
                <c:pt idx="2">
                  <c:v>5.2825893435751475E-2</c:v>
                </c:pt>
                <c:pt idx="3">
                  <c:v>6.1239695011203826E-2</c:v>
                </c:pt>
                <c:pt idx="4">
                  <c:v>6.9785767456666342E-2</c:v>
                </c:pt>
                <c:pt idx="5">
                  <c:v>7.8465696969731852E-2</c:v>
                </c:pt>
                <c:pt idx="6">
                  <c:v>8.728108672940138E-2</c:v>
                </c:pt>
                <c:pt idx="7">
                  <c:v>9.6233557066817313E-2</c:v>
                </c:pt>
                <c:pt idx="8">
                  <c:v>0.10532474563764568</c:v>
                </c:pt>
                <c:pt idx="9">
                  <c:v>0.11455630759612355</c:v>
                </c:pt>
                <c:pt idx="10">
                  <c:v>0.12392991577078666</c:v>
                </c:pt>
                <c:pt idx="11">
                  <c:v>0.13344726084189365</c:v>
                </c:pt>
                <c:pt idx="12">
                  <c:v>0.143110051520562</c:v>
                </c:pt>
                <c:pt idx="13">
                  <c:v>0.15292001472963279</c:v>
                </c:pt>
              </c:numCache>
            </c:numRef>
          </c:val>
          <c:smooth val="0"/>
          <c:extLst>
            <c:ext xmlns:c16="http://schemas.microsoft.com/office/drawing/2014/chart" uri="{C3380CC4-5D6E-409C-BE32-E72D297353CC}">
              <c16:uniqueId val="{00000001-96AF-4D4E-A9CA-D5AA75EDF64E}"/>
            </c:ext>
          </c:extLst>
        </c:ser>
        <c:dLbls>
          <c:showLegendKey val="0"/>
          <c:showVal val="1"/>
          <c:showCatName val="0"/>
          <c:showSerName val="0"/>
          <c:showPercent val="0"/>
          <c:showBubbleSize val="0"/>
        </c:dLbls>
        <c:marker val="1"/>
        <c:smooth val="0"/>
        <c:axId val="262031232"/>
        <c:axId val="262035072"/>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262035072"/>
        <c:scaling>
          <c:orientation val="minMax"/>
          <c:max val="0.2"/>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031232"/>
        <c:crosses val="max"/>
        <c:crossBetween val="between"/>
      </c:valAx>
      <c:catAx>
        <c:axId val="262031232"/>
        <c:scaling>
          <c:orientation val="minMax"/>
        </c:scaling>
        <c:delete val="1"/>
        <c:axPos val="b"/>
        <c:numFmt formatCode="General" sourceLinked="1"/>
        <c:majorTickMark val="out"/>
        <c:minorTickMark val="none"/>
        <c:tickLblPos val="nextTo"/>
        <c:crossAx val="2620350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'Initiation charts'!$C$73</c:f>
              <c:strCache>
                <c:ptCount val="1"/>
                <c:pt idx="0">
                  <c:v>Estimated Kyivstar TV ARPU - Net basis</c:v>
                </c:pt>
              </c:strCache>
            </c:strRef>
          </c:tx>
          <c:spPr>
            <a:ln w="28575"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'Initiation charts'!$E$70:$Q$70</c:f>
              <c:numCache>
                <c:formatCode>General</c:formatCode>
                <c:ptCount val="13"/>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pt idx="8" formatCode="####&quot;E&quot;">
                  <c:v>2031</c:v>
                </c:pt>
                <c:pt idx="9" formatCode="####&quot;E&quot;">
                  <c:v>2032</c:v>
                </c:pt>
                <c:pt idx="10" formatCode="####&quot;E&quot;">
                  <c:v>2033</c:v>
                </c:pt>
                <c:pt idx="11" formatCode="####&quot;E&quot;">
                  <c:v>2034</c:v>
                </c:pt>
                <c:pt idx="12" formatCode="####&quot;E&quot;">
                  <c:v>2035</c:v>
                </c:pt>
              </c:numCache>
            </c:numRef>
          </c:cat>
          <c:val>
            <c:numRef>
              <c:f>'Initiation charts'!$E$73:$Q$73</c:f>
              <c:numCache>
                <c:formatCode>0.0</c:formatCode>
                <c:ptCount val="13"/>
                <c:pt idx="0">
                  <c:v>0.20140900102139081</c:v>
                </c:pt>
                <c:pt idx="1">
                  <c:v>0.26271177914604216</c:v>
                </c:pt>
                <c:pt idx="2">
                  <c:v>0.30264396957624057</c:v>
                </c:pt>
                <c:pt idx="3">
                  <c:v>0.3428350887359653</c:v>
                </c:pt>
                <c:pt idx="4">
                  <c:v>0.38243939818674388</c:v>
                </c:pt>
                <c:pt idx="5">
                  <c:v>0.42067109994467627</c:v>
                </c:pt>
                <c:pt idx="6">
                  <c:v>0.45683669921224002</c:v>
                </c:pt>
                <c:pt idx="7">
                  <c:v>0.4903566717271749</c:v>
                </c:pt>
                <c:pt idx="8">
                  <c:v>0.52077676773412529</c:v>
                </c:pt>
                <c:pt idx="9">
                  <c:v>0.54777019243581671</c:v>
                </c:pt>
                <c:pt idx="10">
                  <c:v>0.57113242917851392</c:v>
                </c:pt>
                <c:pt idx="11">
                  <c:v>0.59077066577062409</c:v>
                </c:pt>
                <c:pt idx="12">
                  <c:v>0.6066897260257651</c:v>
                </c:pt>
              </c:numCache>
            </c:numRef>
          </c:val>
          <c:smooth val="0"/>
          <c:extLst>
            <c:ext xmlns:c16="http://schemas.microsoft.com/office/drawing/2014/chart" uri="{C3380CC4-5D6E-409C-BE32-E72D297353CC}">
              <c16:uniqueId val="{00000001-96AF-4D4E-A9CA-D5AA75EDF64E}"/>
            </c:ext>
          </c:extLst>
        </c:ser>
        <c:ser>
          <c:idx val="0"/>
          <c:order val="1"/>
          <c:tx>
            <c:strRef>
              <c:f>'Initiation charts'!$C$74</c:f>
              <c:strCache>
                <c:ptCount val="1"/>
                <c:pt idx="0">
                  <c:v>Estimated Kyivstar TV ARPU - Gross basis</c:v>
                </c:pt>
              </c:strCache>
            </c:strRef>
          </c:tx>
          <c:spPr>
            <a:ln w="28575" cap="rnd">
              <a:solidFill>
                <a:srgbClr val="799098"/>
              </a:solidFill>
              <a:prstDash val="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'Initiation charts'!$E$74:$Q$74</c:f>
              <c:numCache>
                <c:formatCode>0.0</c:formatCode>
                <c:ptCount val="13"/>
                <c:pt idx="0">
                  <c:v>0.75528375383021551</c:v>
                </c:pt>
                <c:pt idx="1">
                  <c:v>0.98516917179765806</c:v>
                </c:pt>
                <c:pt idx="2">
                  <c:v>1.1349148859109022</c:v>
                </c:pt>
                <c:pt idx="3">
                  <c:v>1.2856315827598699</c:v>
                </c:pt>
                <c:pt idx="4">
                  <c:v>1.4341477432002896</c:v>
                </c:pt>
                <c:pt idx="5">
                  <c:v>1.5775166247925361</c:v>
                </c:pt>
                <c:pt idx="6">
                  <c:v>1.7131376220459003</c:v>
                </c:pt>
                <c:pt idx="7">
                  <c:v>1.8388375189769057</c:v>
                </c:pt>
                <c:pt idx="8">
                  <c:v>1.9529128790029697</c:v>
                </c:pt>
                <c:pt idx="9">
                  <c:v>2.0541382216343127</c:v>
                </c:pt>
                <c:pt idx="10">
                  <c:v>2.1417466094194268</c:v>
                </c:pt>
                <c:pt idx="11">
                  <c:v>2.2153899966398405</c:v>
                </c:pt>
                <c:pt idx="12">
                  <c:v>2.2750864725966191</c:v>
                </c:pt>
              </c:numCache>
            </c:numRef>
          </c:val>
          <c:smooth val="0"/>
          <c:extLst>
            <c:ext xmlns:c16="http://schemas.microsoft.com/office/drawing/2014/chart" uri="{C3380CC4-5D6E-409C-BE32-E72D297353CC}">
              <c16:uniqueId val="{00000000-CC61-460F-841D-03889497F50D}"/>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E4DA40DA-7B6C-4BC5-89B1-869BA0998BD1}">
          <cx:dataPt idx="0">
            <cx:spPr>
              <a:solidFill>
                <a:srgbClr val="F9663E"/>
              </a:solidFill>
            </cx:spPr>
          </cx:dataPt>
          <cx:dataPt idx="1">
            <cx:spPr>
              <a:solidFill>
                <a:srgbClr val="799098"/>
              </a:solidFill>
            </cx:spPr>
          </cx:dataPt>
          <cx:dataPt idx="3">
            <cx:spPr>
              <a:solidFill>
                <a:srgbClr val="799098"/>
              </a:solidFill>
            </cx:spPr>
          </cx:dataPt>
          <cx:dataLabels>
            <cx:visibility seriesName="0" categoryName="0" value="1"/>
          </cx:dataLabels>
          <cx:dataId val="0"/>
          <cx:layoutPr>
            <cx:visibility connectorLines="0"/>
            <cx:subtotals>
              <cx:idx val="2"/>
              <cx:idx val="4"/>
            </cx:subtotals>
          </cx:layoutPr>
        </cx:series>
      </cx:plotAreaRegion>
      <cx:axis id="0">
        <cx:catScaling gapWidth="2.19000006"/>
        <cx:tickLabels/>
      </cx:axis>
      <cx:axis id="1">
        <cx:valScaling/>
        <cx:majorGridlines>
          <cx:spPr>
            <a:ln>
              <a:noFill/>
            </a:ln>
          </cx:spPr>
        </cx:majorGridlines>
        <cx:tickLabels/>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waterfall" uniqueId="{6F532E25-C3DE-46E5-A1ED-94A97991FFA5}">
          <cx:spPr>
            <a:solidFill>
              <a:schemeClr val="tx2"/>
            </a:solidFill>
          </cx:spPr>
          <cx:dataPt idx="0">
            <cx:spPr>
              <a:solidFill>
                <a:srgbClr val="F9663E"/>
              </a:solidFill>
            </cx:spPr>
          </cx:dataPt>
          <cx:dataPt idx="7">
            <cx:spPr>
              <a:solidFill>
                <a:srgbClr val="F9663E"/>
              </a:solidFill>
            </cx:spPr>
          </cx:dataPt>
          <cx:dataPt idx="9">
            <cx:spPr>
              <a:solidFill>
                <a:srgbClr val="F9663E"/>
              </a:solidFill>
            </cx:spPr>
          </cx:dataPt>
          <cx:dataLabels>
            <cx:visibility seriesName="0" categoryName="0" value="1"/>
          </cx:dataLabels>
          <cx:dataId val="0"/>
          <cx:layoutPr>
            <cx:visibility connectorLines="0"/>
            <cx:subtotals>
              <cx:idx val="0"/>
              <cx:idx val="7"/>
              <cx:idx val="9"/>
            </cx:subtotals>
          </cx:layoutPr>
        </cx:series>
      </cx:plotAreaRegion>
      <cx:axis id="0">
        <cx:catScaling gapWidth="2.19000006"/>
        <cx:tickLabels/>
        <cx:txPr>
          <a:bodyPr spcFirstLastPara="1" vertOverflow="ellipsis" horzOverflow="overflow" wrap="square" lIns="0" tIns="0" rIns="0" bIns="0" anchor="ctr" anchorCtr="1"/>
          <a:lstStyle/>
          <a:p>
            <a:pPr algn="ctr" rtl="0">
              <a:defRPr sz="700">
                <a:latin typeface="Roboto" panose="02000000000000000000" pitchFamily="2" charset="0"/>
                <a:ea typeface="Roboto" panose="02000000000000000000" pitchFamily="2" charset="0"/>
                <a:cs typeface="Roboto" panose="02000000000000000000" pitchFamily="2" charset="0"/>
              </a:defRPr>
            </a:pPr>
            <a:endParaRPr lang="en-US" sz="700" b="0" i="0" u="none" strike="noStrike" kern="1200" baseline="0">
              <a:solidFill>
                <a:sysClr val="windowText" lastClr="000000">
                  <a:lumMod val="65000"/>
                  <a:lumOff val="35000"/>
                </a:sysClr>
              </a:solidFill>
              <a:latin typeface="Roboto" panose="02000000000000000000" pitchFamily="2" charset="0"/>
              <a:ea typeface="Roboto" panose="02000000000000000000" pitchFamily="2" charset="0"/>
              <a:cs typeface="Roboto" panose="02000000000000000000" pitchFamily="2" charset="0"/>
            </a:endParaRPr>
          </a:p>
        </cx:txPr>
      </cx:axis>
      <cx:axis id="1">
        <cx:valScaling/>
        <cx:tickLabels/>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 dropStyle="combo" dx="43" fmlaLink="Model!$D$5" fmlaRange="$AF$10:$AF$11" sel="1" val="0"/>
</file>

<file path=xl/ctrlProps/ctrlProp2.xml><?xml version="1.0" encoding="utf-8"?>
<formControlPr xmlns="http://schemas.microsoft.com/office/spreadsheetml/2009/9/main" objectType="Drop" dropLines="3" dropStyle="combo" dx="43" fmlaLink="Model!$D$5" fmlaRange="Summary!$AF$10:$AF$11" sel="1" val="0"/>
</file>

<file path=xl/ctrlProps/ctrlProp3.xml><?xml version="1.0" encoding="utf-8"?>
<formControlPr xmlns="http://schemas.microsoft.com/office/spreadsheetml/2009/9/main" objectType="Drop" dropLines="3" dropStyle="combo" dx="43" fmlaLink="Model!$D$5" fmlaRange="Summary!$AF$10:$AF$1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chart" Target="../charts/chart43.xml"/><Relationship Id="rId1" Type="http://schemas.openxmlformats.org/officeDocument/2006/relationships/chart" Target="../charts/chart42.xml"/><Relationship Id="rId4"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chart" Target="../charts/chart4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2.png"/><Relationship Id="rId7" Type="http://schemas.openxmlformats.org/officeDocument/2006/relationships/image" Target="../media/image14.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chart" Target="../charts/chart41.xml"/><Relationship Id="rId5" Type="http://schemas.openxmlformats.org/officeDocument/2006/relationships/image" Target="../media/image13.png"/><Relationship Id="rId10" Type="http://schemas.microsoft.com/office/2014/relationships/chartEx" Target="../charts/chartEx2.xml"/><Relationship Id="rId4" Type="http://schemas.microsoft.com/office/2014/relationships/chartEx" Target="../charts/chartEx1.xml"/><Relationship Id="rId9"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160020</xdr:rowOff>
    </xdr:from>
    <xdr:to>
      <xdr:col>3</xdr:col>
      <xdr:colOff>167730</xdr:colOff>
      <xdr:row>1</xdr:row>
      <xdr:rowOff>400050</xdr:rowOff>
    </xdr:to>
    <xdr:pic>
      <xdr:nvPicPr>
        <xdr:cNvPr id="2" name="Picture 1">
          <a:extLst>
            <a:ext uri="{FF2B5EF4-FFF2-40B4-BE49-F238E27FC236}">
              <a16:creationId xmlns:a16="http://schemas.microsoft.com/office/drawing/2014/main" id="{B5475540-0D12-44DB-A27E-4D8650B3FC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733" y="160020"/>
          <a:ext cx="2618830"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45496</xdr:colOff>
      <xdr:row>14</xdr:row>
      <xdr:rowOff>129765</xdr:rowOff>
    </xdr:from>
    <xdr:to>
      <xdr:col>15</xdr:col>
      <xdr:colOff>585171</xdr:colOff>
      <xdr:row>31</xdr:row>
      <xdr:rowOff>20395</xdr:rowOff>
    </xdr:to>
    <xdr:graphicFrame macro="">
      <xdr:nvGraphicFramePr>
        <xdr:cNvPr id="2" name="Chart 1">
          <a:extLst>
            <a:ext uri="{FF2B5EF4-FFF2-40B4-BE49-F238E27FC236}">
              <a16:creationId xmlns:a16="http://schemas.microsoft.com/office/drawing/2014/main" id="{857A327C-F102-ED0C-F263-5BB882FB23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67236</xdr:colOff>
      <xdr:row>20</xdr:row>
      <xdr:rowOff>143435</xdr:rowOff>
    </xdr:from>
    <xdr:to>
      <xdr:col>22</xdr:col>
      <xdr:colOff>4483</xdr:colOff>
      <xdr:row>36</xdr:row>
      <xdr:rowOff>143221</xdr:rowOff>
    </xdr:to>
    <xdr:graphicFrame macro="">
      <xdr:nvGraphicFramePr>
        <xdr:cNvPr id="3" name="Chart 2">
          <a:extLst>
            <a:ext uri="{FF2B5EF4-FFF2-40B4-BE49-F238E27FC236}">
              <a16:creationId xmlns:a16="http://schemas.microsoft.com/office/drawing/2014/main" id="{D08A9A3F-3464-D042-31E6-C25A15481E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23</xdr:col>
      <xdr:colOff>618563</xdr:colOff>
      <xdr:row>20</xdr:row>
      <xdr:rowOff>125761</xdr:rowOff>
    </xdr:from>
    <xdr:to>
      <xdr:col>38</xdr:col>
      <xdr:colOff>122746</xdr:colOff>
      <xdr:row>57</xdr:row>
      <xdr:rowOff>71504</xdr:rowOff>
    </xdr:to>
    <xdr:pic>
      <xdr:nvPicPr>
        <xdr:cNvPr id="4" name="Picture 3">
          <a:extLst>
            <a:ext uri="{FF2B5EF4-FFF2-40B4-BE49-F238E27FC236}">
              <a16:creationId xmlns:a16="http://schemas.microsoft.com/office/drawing/2014/main" id="{99B334B0-FA85-51AD-9A6F-4771E67A405B}"/>
            </a:ext>
          </a:extLst>
        </xdr:cNvPr>
        <xdr:cNvPicPr>
          <a:picLocks noChangeAspect="1"/>
        </xdr:cNvPicPr>
      </xdr:nvPicPr>
      <xdr:blipFill>
        <a:blip xmlns:r="http://schemas.openxmlformats.org/officeDocument/2006/relationships" r:embed="rId3"/>
        <a:stretch>
          <a:fillRect/>
        </a:stretch>
      </xdr:blipFill>
      <xdr:spPr>
        <a:xfrm>
          <a:off x="17391528" y="3532349"/>
          <a:ext cx="10154253" cy="6266074"/>
        </a:xfrm>
        <a:prstGeom prst="rect">
          <a:avLst/>
        </a:prstGeom>
      </xdr:spPr>
    </xdr:pic>
    <xdr:clientData/>
  </xdr:twoCellAnchor>
  <xdr:twoCellAnchor editAs="oneCell">
    <xdr:from>
      <xdr:col>24</xdr:col>
      <xdr:colOff>134469</xdr:colOff>
      <xdr:row>15</xdr:row>
      <xdr:rowOff>80938</xdr:rowOff>
    </xdr:from>
    <xdr:to>
      <xdr:col>33</xdr:col>
      <xdr:colOff>501315</xdr:colOff>
      <xdr:row>20</xdr:row>
      <xdr:rowOff>124766</xdr:rowOff>
    </xdr:to>
    <xdr:pic>
      <xdr:nvPicPr>
        <xdr:cNvPr id="5" name="Picture 4">
          <a:extLst>
            <a:ext uri="{FF2B5EF4-FFF2-40B4-BE49-F238E27FC236}">
              <a16:creationId xmlns:a16="http://schemas.microsoft.com/office/drawing/2014/main" id="{1A8F51E5-F22C-9D1C-C9B9-1BA8AAE80C7E}"/>
            </a:ext>
          </a:extLst>
        </xdr:cNvPr>
        <xdr:cNvPicPr>
          <a:picLocks noChangeAspect="1"/>
        </xdr:cNvPicPr>
      </xdr:nvPicPr>
      <xdr:blipFill>
        <a:blip xmlns:r="http://schemas.openxmlformats.org/officeDocument/2006/relationships" r:embed="rId4"/>
        <a:stretch>
          <a:fillRect/>
        </a:stretch>
      </xdr:blipFill>
      <xdr:spPr>
        <a:xfrm>
          <a:off x="17579787" y="2635879"/>
          <a:ext cx="6982799" cy="8954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49803</xdr:colOff>
      <xdr:row>6</xdr:row>
      <xdr:rowOff>19566</xdr:rowOff>
    </xdr:from>
    <xdr:to>
      <xdr:col>5</xdr:col>
      <xdr:colOff>438273</xdr:colOff>
      <xdr:row>6</xdr:row>
      <xdr:rowOff>267565</xdr:rowOff>
    </xdr:to>
    <xdr:pic>
      <xdr:nvPicPr>
        <xdr:cNvPr id="3" name="Picture 2">
          <a:extLst>
            <a:ext uri="{FF2B5EF4-FFF2-40B4-BE49-F238E27FC236}">
              <a16:creationId xmlns:a16="http://schemas.microsoft.com/office/drawing/2014/main" id="{D08F69BF-CD6C-0501-D8AF-046D3EBB8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0117" y="1005684"/>
          <a:ext cx="1011020" cy="247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150092</xdr:colOff>
      <xdr:row>4</xdr:row>
      <xdr:rowOff>123152</xdr:rowOff>
    </xdr:from>
    <xdr:to>
      <xdr:col>10</xdr:col>
      <xdr:colOff>604826</xdr:colOff>
      <xdr:row>7</xdr:row>
      <xdr:rowOff>189932</xdr:rowOff>
    </xdr:to>
    <xdr:pic>
      <xdr:nvPicPr>
        <xdr:cNvPr id="12" name="Picture 11">
          <a:extLst>
            <a:ext uri="{FF2B5EF4-FFF2-40B4-BE49-F238E27FC236}">
              <a16:creationId xmlns:a16="http://schemas.microsoft.com/office/drawing/2014/main" id="{E03EB482-6A8C-4789-9057-7BEB52BA4E85}"/>
            </a:ext>
          </a:extLst>
        </xdr:cNvPr>
        <xdr:cNvPicPr>
          <a:picLocks noChangeAspect="1"/>
        </xdr:cNvPicPr>
      </xdr:nvPicPr>
      <xdr:blipFill>
        <a:blip xmlns:r="http://schemas.openxmlformats.org/officeDocument/2006/relationships" r:embed="rId2"/>
        <a:stretch>
          <a:fillRect/>
        </a:stretch>
      </xdr:blipFill>
      <xdr:spPr>
        <a:xfrm>
          <a:off x="6451711" y="776295"/>
          <a:ext cx="1078350" cy="719923"/>
        </a:xfrm>
        <a:prstGeom prst="rect">
          <a:avLst/>
        </a:prstGeom>
      </xdr:spPr>
    </xdr:pic>
    <xdr:clientData/>
  </xdr:twoCellAnchor>
  <xdr:twoCellAnchor editAs="oneCell">
    <xdr:from>
      <xdr:col>13</xdr:col>
      <xdr:colOff>348269</xdr:colOff>
      <xdr:row>6</xdr:row>
      <xdr:rowOff>22056</xdr:rowOff>
    </xdr:from>
    <xdr:to>
      <xdr:col>14</xdr:col>
      <xdr:colOff>281035</xdr:colOff>
      <xdr:row>6</xdr:row>
      <xdr:rowOff>316379</xdr:rowOff>
    </xdr:to>
    <xdr:pic>
      <xdr:nvPicPr>
        <xdr:cNvPr id="13" name="Picture 12" descr="lifecell logos">
          <a:extLst>
            <a:ext uri="{FF2B5EF4-FFF2-40B4-BE49-F238E27FC236}">
              <a16:creationId xmlns:a16="http://schemas.microsoft.com/office/drawing/2014/main" id="{5442BDC5-F988-639D-0A1A-5ED12AA09F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67093" y="1008174"/>
          <a:ext cx="555315" cy="294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281325</xdr:colOff>
      <xdr:row>7</xdr:row>
      <xdr:rowOff>216723</xdr:rowOff>
    </xdr:from>
    <xdr:to>
      <xdr:col>36</xdr:col>
      <xdr:colOff>478569</xdr:colOff>
      <xdr:row>24</xdr:row>
      <xdr:rowOff>31227</xdr:rowOff>
    </xdr:to>
    <xdr:graphicFrame macro="">
      <xdr:nvGraphicFramePr>
        <xdr:cNvPr id="16" name="Chart 15">
          <a:extLst>
            <a:ext uri="{FF2B5EF4-FFF2-40B4-BE49-F238E27FC236}">
              <a16:creationId xmlns:a16="http://schemas.microsoft.com/office/drawing/2014/main" id="{8B67949B-BC74-1025-57A5-3F3ECF702C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473528</xdr:colOff>
      <xdr:row>41</xdr:row>
      <xdr:rowOff>54428</xdr:rowOff>
    </xdr:from>
    <xdr:to>
      <xdr:col>31</xdr:col>
      <xdr:colOff>321128</xdr:colOff>
      <xdr:row>58</xdr:row>
      <xdr:rowOff>21771</xdr:rowOff>
    </xdr:to>
    <xdr:graphicFrame macro="">
      <xdr:nvGraphicFramePr>
        <xdr:cNvPr id="2" name="Chart 1">
          <a:extLst>
            <a:ext uri="{FF2B5EF4-FFF2-40B4-BE49-F238E27FC236}">
              <a16:creationId xmlns:a16="http://schemas.microsoft.com/office/drawing/2014/main" id="{1790410C-9171-9396-5A4A-66266B15EB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60</xdr:col>
      <xdr:colOff>310243</xdr:colOff>
      <xdr:row>41</xdr:row>
      <xdr:rowOff>54428</xdr:rowOff>
    </xdr:from>
    <xdr:to>
      <xdr:col>67</xdr:col>
      <xdr:colOff>157843</xdr:colOff>
      <xdr:row>58</xdr:row>
      <xdr:rowOff>21771</xdr:rowOff>
    </xdr:to>
    <xdr:graphicFrame macro="">
      <xdr:nvGraphicFramePr>
        <xdr:cNvPr id="3" name="Chart 2">
          <a:extLst>
            <a:ext uri="{FF2B5EF4-FFF2-40B4-BE49-F238E27FC236}">
              <a16:creationId xmlns:a16="http://schemas.microsoft.com/office/drawing/2014/main" id="{8D01AB0B-A86B-115A-8016-62AF965B07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298449</xdr:colOff>
      <xdr:row>6</xdr:row>
      <xdr:rowOff>88899</xdr:rowOff>
    </xdr:from>
    <xdr:to>
      <xdr:col>18</xdr:col>
      <xdr:colOff>366182</xdr:colOff>
      <xdr:row>23</xdr:row>
      <xdr:rowOff>25399</xdr:rowOff>
    </xdr:to>
    <xdr:graphicFrame macro="">
      <xdr:nvGraphicFramePr>
        <xdr:cNvPr id="2" name="Chart 1">
          <a:extLst>
            <a:ext uri="{FF2B5EF4-FFF2-40B4-BE49-F238E27FC236}">
              <a16:creationId xmlns:a16="http://schemas.microsoft.com/office/drawing/2014/main" id="{957AF0A2-E5D2-53D0-CB1E-56B36576F5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752475</xdr:colOff>
          <xdr:row>4</xdr:row>
          <xdr:rowOff>114300</xdr:rowOff>
        </xdr:from>
        <xdr:to>
          <xdr:col>4</xdr:col>
          <xdr:colOff>28575</xdr:colOff>
          <xdr:row>5</xdr:row>
          <xdr:rowOff>171450</xdr:rowOff>
        </xdr:to>
        <xdr:sp macro="" textlink="">
          <xdr:nvSpPr>
            <xdr:cNvPr id="5121" name="Drop Down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2486025</xdr:colOff>
          <xdr:row>3</xdr:row>
          <xdr:rowOff>133350</xdr:rowOff>
        </xdr:from>
        <xdr:to>
          <xdr:col>4</xdr:col>
          <xdr:colOff>0</xdr:colOff>
          <xdr:row>5</xdr:row>
          <xdr:rowOff>19050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15</xdr:col>
      <xdr:colOff>134471</xdr:colOff>
      <xdr:row>368</xdr:row>
      <xdr:rowOff>95774</xdr:rowOff>
    </xdr:from>
    <xdr:to>
      <xdr:col>23</xdr:col>
      <xdr:colOff>666023</xdr:colOff>
      <xdr:row>384</xdr:row>
      <xdr:rowOff>105881</xdr:rowOff>
    </xdr:to>
    <xdr:pic>
      <xdr:nvPicPr>
        <xdr:cNvPr id="2" name="Picture 1">
          <a:extLst>
            <a:ext uri="{FF2B5EF4-FFF2-40B4-BE49-F238E27FC236}">
              <a16:creationId xmlns:a16="http://schemas.microsoft.com/office/drawing/2014/main" id="{4F602814-F8C5-5569-B385-C20EAB4013F5}"/>
            </a:ext>
          </a:extLst>
        </xdr:cNvPr>
        <xdr:cNvPicPr>
          <a:picLocks noChangeAspect="1"/>
        </xdr:cNvPicPr>
      </xdr:nvPicPr>
      <xdr:blipFill>
        <a:blip xmlns:r="http://schemas.openxmlformats.org/officeDocument/2006/relationships" r:embed="rId1"/>
        <a:stretch>
          <a:fillRect/>
        </a:stretch>
      </xdr:blipFill>
      <xdr:spPr>
        <a:xfrm>
          <a:off x="11584392" y="57051539"/>
          <a:ext cx="6986140" cy="2639754"/>
        </a:xfrm>
        <a:prstGeom prst="rect">
          <a:avLst/>
        </a:prstGeom>
      </xdr:spPr>
    </xdr:pic>
    <xdr:clientData/>
  </xdr:twoCellAnchor>
  <xdr:twoCellAnchor editAs="oneCell">
    <xdr:from>
      <xdr:col>28</xdr:col>
      <xdr:colOff>393451</xdr:colOff>
      <xdr:row>376</xdr:row>
      <xdr:rowOff>72423</xdr:rowOff>
    </xdr:from>
    <xdr:to>
      <xdr:col>38</xdr:col>
      <xdr:colOff>350146</xdr:colOff>
      <xdr:row>399</xdr:row>
      <xdr:rowOff>78565</xdr:rowOff>
    </xdr:to>
    <xdr:pic>
      <xdr:nvPicPr>
        <xdr:cNvPr id="3" name="Picture 2">
          <a:extLst>
            <a:ext uri="{FF2B5EF4-FFF2-40B4-BE49-F238E27FC236}">
              <a16:creationId xmlns:a16="http://schemas.microsoft.com/office/drawing/2014/main" id="{832EF2D7-872A-0DAB-AF15-63E255CD75B5}"/>
            </a:ext>
          </a:extLst>
        </xdr:cNvPr>
        <xdr:cNvPicPr>
          <a:picLocks noChangeAspect="1"/>
        </xdr:cNvPicPr>
      </xdr:nvPicPr>
      <xdr:blipFill>
        <a:blip xmlns:r="http://schemas.openxmlformats.org/officeDocument/2006/relationships" r:embed="rId2"/>
        <a:stretch>
          <a:fillRect/>
        </a:stretch>
      </xdr:blipFill>
      <xdr:spPr>
        <a:xfrm>
          <a:off x="22610980" y="58343011"/>
          <a:ext cx="6331598" cy="3786261"/>
        </a:xfrm>
        <a:prstGeom prst="rect">
          <a:avLst/>
        </a:prstGeom>
      </xdr:spPr>
    </xdr:pic>
    <xdr:clientData/>
  </xdr:twoCellAnchor>
  <xdr:twoCellAnchor editAs="oneCell">
    <xdr:from>
      <xdr:col>23</xdr:col>
      <xdr:colOff>309429</xdr:colOff>
      <xdr:row>360</xdr:row>
      <xdr:rowOff>99155</xdr:rowOff>
    </xdr:from>
    <xdr:to>
      <xdr:col>31</xdr:col>
      <xdr:colOff>387175</xdr:colOff>
      <xdr:row>382</xdr:row>
      <xdr:rowOff>123897</xdr:rowOff>
    </xdr:to>
    <xdr:pic>
      <xdr:nvPicPr>
        <xdr:cNvPr id="4" name="Picture 3">
          <a:extLst>
            <a:ext uri="{FF2B5EF4-FFF2-40B4-BE49-F238E27FC236}">
              <a16:creationId xmlns:a16="http://schemas.microsoft.com/office/drawing/2014/main" id="{04B4735A-3A4B-D242-098B-89CE0D2E62D5}"/>
            </a:ext>
          </a:extLst>
        </xdr:cNvPr>
        <xdr:cNvPicPr>
          <a:picLocks noChangeAspect="1"/>
        </xdr:cNvPicPr>
      </xdr:nvPicPr>
      <xdr:blipFill>
        <a:blip xmlns:r="http://schemas.openxmlformats.org/officeDocument/2006/relationships" r:embed="rId3"/>
        <a:stretch>
          <a:fillRect/>
        </a:stretch>
      </xdr:blipFill>
      <xdr:spPr>
        <a:xfrm>
          <a:off x="18213938" y="55740096"/>
          <a:ext cx="6303237" cy="3640507"/>
        </a:xfrm>
        <a:prstGeom prst="rect">
          <a:avLst/>
        </a:prstGeom>
      </xdr:spPr>
    </xdr:pic>
    <xdr:clientData/>
  </xdr:twoCellAnchor>
  <xdr:twoCellAnchor editAs="oneCell">
    <xdr:from>
      <xdr:col>35</xdr:col>
      <xdr:colOff>338666</xdr:colOff>
      <xdr:row>360</xdr:row>
      <xdr:rowOff>38894</xdr:rowOff>
    </xdr:from>
    <xdr:to>
      <xdr:col>44</xdr:col>
      <xdr:colOff>532684</xdr:colOff>
      <xdr:row>375</xdr:row>
      <xdr:rowOff>3278</xdr:rowOff>
    </xdr:to>
    <xdr:pic>
      <xdr:nvPicPr>
        <xdr:cNvPr id="5" name="Picture 4">
          <a:extLst>
            <a:ext uri="{FF2B5EF4-FFF2-40B4-BE49-F238E27FC236}">
              <a16:creationId xmlns:a16="http://schemas.microsoft.com/office/drawing/2014/main" id="{272EE68D-B02C-0346-94E9-D0903189C5B1}"/>
            </a:ext>
          </a:extLst>
        </xdr:cNvPr>
        <xdr:cNvPicPr>
          <a:picLocks noChangeAspect="1"/>
        </xdr:cNvPicPr>
      </xdr:nvPicPr>
      <xdr:blipFill>
        <a:blip xmlns:r="http://schemas.openxmlformats.org/officeDocument/2006/relationships" r:embed="rId4"/>
        <a:stretch>
          <a:fillRect/>
        </a:stretch>
      </xdr:blipFill>
      <xdr:spPr>
        <a:xfrm>
          <a:off x="27018627" y="55679835"/>
          <a:ext cx="5931430" cy="24296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1</xdr:row>
          <xdr:rowOff>95250</xdr:rowOff>
        </xdr:from>
        <xdr:to>
          <xdr:col>4</xdr:col>
          <xdr:colOff>0</xdr:colOff>
          <xdr:row>2</xdr:row>
          <xdr:rowOff>161925</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16</xdr:col>
      <xdr:colOff>0</xdr:colOff>
      <xdr:row>158</xdr:row>
      <xdr:rowOff>0</xdr:rowOff>
    </xdr:from>
    <xdr:to>
      <xdr:col>26</xdr:col>
      <xdr:colOff>514988</xdr:colOff>
      <xdr:row>195</xdr:row>
      <xdr:rowOff>99506</xdr:rowOff>
    </xdr:to>
    <xdr:pic>
      <xdr:nvPicPr>
        <xdr:cNvPr id="3" name="Picture 2">
          <a:extLst>
            <a:ext uri="{FF2B5EF4-FFF2-40B4-BE49-F238E27FC236}">
              <a16:creationId xmlns:a16="http://schemas.microsoft.com/office/drawing/2014/main" id="{7B90BC6D-B494-4390-B01D-DC6C7AA16667}"/>
            </a:ext>
          </a:extLst>
        </xdr:cNvPr>
        <xdr:cNvPicPr>
          <a:picLocks noChangeAspect="1"/>
        </xdr:cNvPicPr>
      </xdr:nvPicPr>
      <xdr:blipFill>
        <a:blip xmlns:r="http://schemas.openxmlformats.org/officeDocument/2006/relationships" r:embed="rId1"/>
        <a:stretch>
          <a:fillRect/>
        </a:stretch>
      </xdr:blipFill>
      <xdr:spPr>
        <a:xfrm>
          <a:off x="8444753" y="26266588"/>
          <a:ext cx="8583223" cy="640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0</xdr:colOff>
      <xdr:row>158</xdr:row>
      <xdr:rowOff>0</xdr:rowOff>
    </xdr:from>
    <xdr:to>
      <xdr:col>27</xdr:col>
      <xdr:colOff>514987</xdr:colOff>
      <xdr:row>195</xdr:row>
      <xdr:rowOff>99506</xdr:rowOff>
    </xdr:to>
    <xdr:pic>
      <xdr:nvPicPr>
        <xdr:cNvPr id="2" name="Picture 1">
          <a:extLst>
            <a:ext uri="{FF2B5EF4-FFF2-40B4-BE49-F238E27FC236}">
              <a16:creationId xmlns:a16="http://schemas.microsoft.com/office/drawing/2014/main" id="{5E1ED732-5C6B-42B9-BE2E-E3B27911DBB8}"/>
            </a:ext>
          </a:extLst>
        </xdr:cNvPr>
        <xdr:cNvPicPr>
          <a:picLocks noChangeAspect="1"/>
        </xdr:cNvPicPr>
      </xdr:nvPicPr>
      <xdr:blipFill>
        <a:blip xmlns:r="http://schemas.openxmlformats.org/officeDocument/2006/relationships" r:embed="rId1"/>
        <a:stretch>
          <a:fillRect/>
        </a:stretch>
      </xdr:blipFill>
      <xdr:spPr>
        <a:xfrm>
          <a:off x="12655550" y="26111200"/>
          <a:ext cx="7817488" cy="62082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221627</xdr:colOff>
      <xdr:row>3</xdr:row>
      <xdr:rowOff>39843</xdr:rowOff>
    </xdr:from>
    <xdr:to>
      <xdr:col>15</xdr:col>
      <xdr:colOff>87712</xdr:colOff>
      <xdr:row>20</xdr:row>
      <xdr:rowOff>69726</xdr:rowOff>
    </xdr:to>
    <xdr:graphicFrame macro="">
      <xdr:nvGraphicFramePr>
        <xdr:cNvPr id="2" name="Chart 1">
          <a:extLst>
            <a:ext uri="{FF2B5EF4-FFF2-40B4-BE49-F238E27FC236}">
              <a16:creationId xmlns:a16="http://schemas.microsoft.com/office/drawing/2014/main" id="{B62B550C-E8A1-1702-F4BA-319C988239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27393</xdr:colOff>
      <xdr:row>3</xdr:row>
      <xdr:rowOff>64744</xdr:rowOff>
    </xdr:from>
    <xdr:to>
      <xdr:col>21</xdr:col>
      <xdr:colOff>98953</xdr:colOff>
      <xdr:row>20</xdr:row>
      <xdr:rowOff>94627</xdr:rowOff>
    </xdr:to>
    <xdr:graphicFrame macro="">
      <xdr:nvGraphicFramePr>
        <xdr:cNvPr id="3" name="Chart 2">
          <a:extLst>
            <a:ext uri="{FF2B5EF4-FFF2-40B4-BE49-F238E27FC236}">
              <a16:creationId xmlns:a16="http://schemas.microsoft.com/office/drawing/2014/main" id="{043DF9BF-8646-CC89-62A9-C6D40FC908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243490</xdr:colOff>
      <xdr:row>159</xdr:row>
      <xdr:rowOff>137459</xdr:rowOff>
    </xdr:from>
    <xdr:to>
      <xdr:col>14</xdr:col>
      <xdr:colOff>644703</xdr:colOff>
      <xdr:row>176</xdr:row>
      <xdr:rowOff>86660</xdr:rowOff>
    </xdr:to>
    <xdr:graphicFrame macro="">
      <xdr:nvGraphicFramePr>
        <xdr:cNvPr id="4" name="Chart 3">
          <a:extLst>
            <a:ext uri="{FF2B5EF4-FFF2-40B4-BE49-F238E27FC236}">
              <a16:creationId xmlns:a16="http://schemas.microsoft.com/office/drawing/2014/main" id="{5B4AF9F4-93DD-06BE-21D4-A5DD2E3FE0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20</xdr:col>
      <xdr:colOff>456328</xdr:colOff>
      <xdr:row>4</xdr:row>
      <xdr:rowOff>78190</xdr:rowOff>
    </xdr:from>
    <xdr:to>
      <xdr:col>27</xdr:col>
      <xdr:colOff>524062</xdr:colOff>
      <xdr:row>21</xdr:row>
      <xdr:rowOff>14690</xdr:rowOff>
    </xdr:to>
    <xdr:graphicFrame macro="">
      <xdr:nvGraphicFramePr>
        <xdr:cNvPr id="5" name="Chart 4">
          <a:extLst>
            <a:ext uri="{FF2B5EF4-FFF2-40B4-BE49-F238E27FC236}">
              <a16:creationId xmlns:a16="http://schemas.microsoft.com/office/drawing/2014/main" id="{EA174148-54CA-E4CB-0687-258BDB023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294555</xdr:colOff>
      <xdr:row>2</xdr:row>
      <xdr:rowOff>142438</xdr:rowOff>
    </xdr:from>
    <xdr:to>
      <xdr:col>35</xdr:col>
      <xdr:colOff>369261</xdr:colOff>
      <xdr:row>28</xdr:row>
      <xdr:rowOff>92705</xdr:rowOff>
    </xdr:to>
    <xdr:graphicFrame macro="">
      <xdr:nvGraphicFramePr>
        <xdr:cNvPr id="6" name="Chart 5">
          <a:extLst>
            <a:ext uri="{FF2B5EF4-FFF2-40B4-BE49-F238E27FC236}">
              <a16:creationId xmlns:a16="http://schemas.microsoft.com/office/drawing/2014/main" id="{7FFC3BE7-1249-38E3-55F6-7880A840FB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35</xdr:col>
      <xdr:colOff>262441</xdr:colOff>
      <xdr:row>17</xdr:row>
      <xdr:rowOff>123554</xdr:rowOff>
    </xdr:from>
    <xdr:to>
      <xdr:col>42</xdr:col>
      <xdr:colOff>337148</xdr:colOff>
      <xdr:row>34</xdr:row>
      <xdr:rowOff>130850</xdr:rowOff>
    </xdr:to>
    <xdr:graphicFrame macro="">
      <xdr:nvGraphicFramePr>
        <xdr:cNvPr id="7" name="Chart 6">
          <a:extLst>
            <a:ext uri="{FF2B5EF4-FFF2-40B4-BE49-F238E27FC236}">
              <a16:creationId xmlns:a16="http://schemas.microsoft.com/office/drawing/2014/main" id="{BA754022-A443-BACB-6A30-14D62EBAC1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25</xdr:col>
      <xdr:colOff>148769</xdr:colOff>
      <xdr:row>25</xdr:row>
      <xdr:rowOff>10388</xdr:rowOff>
    </xdr:from>
    <xdr:to>
      <xdr:col>32</xdr:col>
      <xdr:colOff>1038</xdr:colOff>
      <xdr:row>41</xdr:row>
      <xdr:rowOff>28317</xdr:rowOff>
    </xdr:to>
    <xdr:graphicFrame macro="">
      <xdr:nvGraphicFramePr>
        <xdr:cNvPr id="8" name="Chart 7">
          <a:extLst>
            <a:ext uri="{FF2B5EF4-FFF2-40B4-BE49-F238E27FC236}">
              <a16:creationId xmlns:a16="http://schemas.microsoft.com/office/drawing/2014/main" id="{03A1C84C-98F0-499F-6C43-0EFC27EA9C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33</xdr:col>
      <xdr:colOff>447661</xdr:colOff>
      <xdr:row>54</xdr:row>
      <xdr:rowOff>144980</xdr:rowOff>
    </xdr:from>
    <xdr:to>
      <xdr:col>42</xdr:col>
      <xdr:colOff>535108</xdr:colOff>
      <xdr:row>74</xdr:row>
      <xdr:rowOff>28862</xdr:rowOff>
    </xdr:to>
    <xdr:graphicFrame macro="">
      <xdr:nvGraphicFramePr>
        <xdr:cNvPr id="9" name="Chart 8">
          <a:extLst>
            <a:ext uri="{FF2B5EF4-FFF2-40B4-BE49-F238E27FC236}">
              <a16:creationId xmlns:a16="http://schemas.microsoft.com/office/drawing/2014/main" id="{85422A01-8ABE-53FF-7162-4D6663AAD9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52</xdr:col>
      <xdr:colOff>504974</xdr:colOff>
      <xdr:row>54</xdr:row>
      <xdr:rowOff>69104</xdr:rowOff>
    </xdr:from>
    <xdr:to>
      <xdr:col>59</xdr:col>
      <xdr:colOff>585794</xdr:colOff>
      <xdr:row>71</xdr:row>
      <xdr:rowOff>36446</xdr:rowOff>
    </xdr:to>
    <xdr:graphicFrame macro="">
      <xdr:nvGraphicFramePr>
        <xdr:cNvPr id="10" name="Chart 9">
          <a:extLst>
            <a:ext uri="{FF2B5EF4-FFF2-40B4-BE49-F238E27FC236}">
              <a16:creationId xmlns:a16="http://schemas.microsoft.com/office/drawing/2014/main" id="{6E107FB9-EBD1-E933-32AF-322DD805D9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20</xdr:col>
      <xdr:colOff>321875</xdr:colOff>
      <xdr:row>59</xdr:row>
      <xdr:rowOff>165829</xdr:rowOff>
    </xdr:from>
    <xdr:to>
      <xdr:col>25</xdr:col>
      <xdr:colOff>369187</xdr:colOff>
      <xdr:row>80</xdr:row>
      <xdr:rowOff>120505</xdr:rowOff>
    </xdr:to>
    <xdr:graphicFrame macro="">
      <xdr:nvGraphicFramePr>
        <xdr:cNvPr id="11" name="Chart 10">
          <a:extLst>
            <a:ext uri="{FF2B5EF4-FFF2-40B4-BE49-F238E27FC236}">
              <a16:creationId xmlns:a16="http://schemas.microsoft.com/office/drawing/2014/main" id="{3CFD12D5-9E82-68BF-46B7-A97F9AB8DA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26</xdr:col>
      <xdr:colOff>72571</xdr:colOff>
      <xdr:row>144</xdr:row>
      <xdr:rowOff>116116</xdr:rowOff>
    </xdr:from>
    <xdr:to>
      <xdr:col>33</xdr:col>
      <xdr:colOff>157238</xdr:colOff>
      <xdr:row>162</xdr:row>
      <xdr:rowOff>83458</xdr:rowOff>
    </xdr:to>
    <xdr:graphicFrame macro="">
      <xdr:nvGraphicFramePr>
        <xdr:cNvPr id="13" name="Chart 12">
          <a:extLst>
            <a:ext uri="{FF2B5EF4-FFF2-40B4-BE49-F238E27FC236}">
              <a16:creationId xmlns:a16="http://schemas.microsoft.com/office/drawing/2014/main" id="{79455264-17F9-D574-A663-BB9C1647EE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43</xdr:col>
      <xdr:colOff>273762</xdr:colOff>
      <xdr:row>55</xdr:row>
      <xdr:rowOff>130011</xdr:rowOff>
    </xdr:from>
    <xdr:to>
      <xdr:col>52</xdr:col>
      <xdr:colOff>361209</xdr:colOff>
      <xdr:row>75</xdr:row>
      <xdr:rowOff>6805</xdr:rowOff>
    </xdr:to>
    <xdr:graphicFrame macro="">
      <xdr:nvGraphicFramePr>
        <xdr:cNvPr id="14" name="Chart 13">
          <a:extLst>
            <a:ext uri="{FF2B5EF4-FFF2-40B4-BE49-F238E27FC236}">
              <a16:creationId xmlns:a16="http://schemas.microsoft.com/office/drawing/2014/main" id="{6C1F95A6-E73A-4623-1B6E-83147AD180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107078</xdr:colOff>
      <xdr:row>27</xdr:row>
      <xdr:rowOff>90145</xdr:rowOff>
    </xdr:from>
    <xdr:to>
      <xdr:col>17</xdr:col>
      <xdr:colOff>216648</xdr:colOff>
      <xdr:row>44</xdr:row>
      <xdr:rowOff>39345</xdr:rowOff>
    </xdr:to>
    <xdr:graphicFrame macro="">
      <xdr:nvGraphicFramePr>
        <xdr:cNvPr id="15" name="Chart 14">
          <a:extLst>
            <a:ext uri="{FF2B5EF4-FFF2-40B4-BE49-F238E27FC236}">
              <a16:creationId xmlns:a16="http://schemas.microsoft.com/office/drawing/2014/main" id="{DF9E155F-7D85-4201-D931-DC07DF6B74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18</xdr:col>
      <xdr:colOff>176803</xdr:colOff>
      <xdr:row>27</xdr:row>
      <xdr:rowOff>80183</xdr:rowOff>
    </xdr:from>
    <xdr:to>
      <xdr:col>25</xdr:col>
      <xdr:colOff>286373</xdr:colOff>
      <xdr:row>44</xdr:row>
      <xdr:rowOff>29383</xdr:rowOff>
    </xdr:to>
    <xdr:graphicFrame macro="">
      <xdr:nvGraphicFramePr>
        <xdr:cNvPr id="16" name="Chart 15">
          <a:extLst>
            <a:ext uri="{FF2B5EF4-FFF2-40B4-BE49-F238E27FC236}">
              <a16:creationId xmlns:a16="http://schemas.microsoft.com/office/drawing/2014/main" id="{9A665834-BE20-042F-3E7D-1AA424DBA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25</xdr:col>
      <xdr:colOff>415861</xdr:colOff>
      <xdr:row>41</xdr:row>
      <xdr:rowOff>85163</xdr:rowOff>
    </xdr:from>
    <xdr:to>
      <xdr:col>32</xdr:col>
      <xdr:colOff>525429</xdr:colOff>
      <xdr:row>58</xdr:row>
      <xdr:rowOff>34363</xdr:rowOff>
    </xdr:to>
    <xdr:graphicFrame macro="">
      <xdr:nvGraphicFramePr>
        <xdr:cNvPr id="17" name="Chart 16">
          <a:extLst>
            <a:ext uri="{FF2B5EF4-FFF2-40B4-BE49-F238E27FC236}">
              <a16:creationId xmlns:a16="http://schemas.microsoft.com/office/drawing/2014/main" id="{F00AB501-FA66-25E9-08F8-EFDA1F951A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19</xdr:col>
      <xdr:colOff>307218</xdr:colOff>
      <xdr:row>141</xdr:row>
      <xdr:rowOff>93133</xdr:rowOff>
    </xdr:from>
    <xdr:to>
      <xdr:col>26</xdr:col>
      <xdr:colOff>436994</xdr:colOff>
      <xdr:row>158</xdr:row>
      <xdr:rowOff>60477</xdr:rowOff>
    </xdr:to>
    <xdr:graphicFrame macro="">
      <xdr:nvGraphicFramePr>
        <xdr:cNvPr id="18" name="Chart 17">
          <a:extLst>
            <a:ext uri="{FF2B5EF4-FFF2-40B4-BE49-F238E27FC236}">
              <a16:creationId xmlns:a16="http://schemas.microsoft.com/office/drawing/2014/main" id="{F9E44B8A-88A3-C9A8-F525-8B12AF0502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33</xdr:col>
      <xdr:colOff>270631</xdr:colOff>
      <xdr:row>79</xdr:row>
      <xdr:rowOff>93736</xdr:rowOff>
    </xdr:from>
    <xdr:to>
      <xdr:col>42</xdr:col>
      <xdr:colOff>358078</xdr:colOff>
      <xdr:row>98</xdr:row>
      <xdr:rowOff>146959</xdr:rowOff>
    </xdr:to>
    <xdr:graphicFrame macro="">
      <xdr:nvGraphicFramePr>
        <xdr:cNvPr id="20" name="Chart 19">
          <a:extLst>
            <a:ext uri="{FF2B5EF4-FFF2-40B4-BE49-F238E27FC236}">
              <a16:creationId xmlns:a16="http://schemas.microsoft.com/office/drawing/2014/main" id="{55CDCAD3-DBDA-4942-938C-573908A1E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52</xdr:col>
      <xdr:colOff>498926</xdr:colOff>
      <xdr:row>79</xdr:row>
      <xdr:rowOff>150749</xdr:rowOff>
    </xdr:from>
    <xdr:to>
      <xdr:col>59</xdr:col>
      <xdr:colOff>585794</xdr:colOff>
      <xdr:row>96</xdr:row>
      <xdr:rowOff>112043</xdr:rowOff>
    </xdr:to>
    <xdr:graphicFrame macro="">
      <xdr:nvGraphicFramePr>
        <xdr:cNvPr id="21" name="Chart 20">
          <a:extLst>
            <a:ext uri="{FF2B5EF4-FFF2-40B4-BE49-F238E27FC236}">
              <a16:creationId xmlns:a16="http://schemas.microsoft.com/office/drawing/2014/main" id="{F5B05053-6D3F-D841-BFC3-6DC60463E8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43</xdr:col>
      <xdr:colOff>314477</xdr:colOff>
      <xdr:row>77</xdr:row>
      <xdr:rowOff>64022</xdr:rowOff>
    </xdr:from>
    <xdr:to>
      <xdr:col>52</xdr:col>
      <xdr:colOff>401924</xdr:colOff>
      <xdr:row>96</xdr:row>
      <xdr:rowOff>109546</xdr:rowOff>
    </xdr:to>
    <xdr:graphicFrame macro="">
      <xdr:nvGraphicFramePr>
        <xdr:cNvPr id="22" name="Chart 21">
          <a:extLst>
            <a:ext uri="{FF2B5EF4-FFF2-40B4-BE49-F238E27FC236}">
              <a16:creationId xmlns:a16="http://schemas.microsoft.com/office/drawing/2014/main" id="{C7801A0B-D8FE-A2B9-3452-F63AE0BCB2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32</xdr:col>
      <xdr:colOff>438041</xdr:colOff>
      <xdr:row>140</xdr:row>
      <xdr:rowOff>119715</xdr:rowOff>
    </xdr:from>
    <xdr:to>
      <xdr:col>41</xdr:col>
      <xdr:colOff>521640</xdr:colOff>
      <xdr:row>160</xdr:row>
      <xdr:rowOff>11302</xdr:rowOff>
    </xdr:to>
    <xdr:graphicFrame macro="">
      <xdr:nvGraphicFramePr>
        <xdr:cNvPr id="23" name="Chart 22">
          <a:extLst>
            <a:ext uri="{FF2B5EF4-FFF2-40B4-BE49-F238E27FC236}">
              <a16:creationId xmlns:a16="http://schemas.microsoft.com/office/drawing/2014/main" id="{A8687CD1-EDFA-6F9F-5424-9C8C66CD48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52</xdr:col>
      <xdr:colOff>498926</xdr:colOff>
      <xdr:row>141</xdr:row>
      <xdr:rowOff>76667</xdr:rowOff>
    </xdr:from>
    <xdr:to>
      <xdr:col>59</xdr:col>
      <xdr:colOff>585794</xdr:colOff>
      <xdr:row>158</xdr:row>
      <xdr:rowOff>37961</xdr:rowOff>
    </xdr:to>
    <xdr:graphicFrame macro="">
      <xdr:nvGraphicFramePr>
        <xdr:cNvPr id="24" name="Chart 23">
          <a:extLst>
            <a:ext uri="{FF2B5EF4-FFF2-40B4-BE49-F238E27FC236}">
              <a16:creationId xmlns:a16="http://schemas.microsoft.com/office/drawing/2014/main" id="{6AD02502-CC6C-2E8F-8112-2BDD02DCC9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43</xdr:col>
      <xdr:colOff>314477</xdr:colOff>
      <xdr:row>141</xdr:row>
      <xdr:rowOff>17840</xdr:rowOff>
    </xdr:from>
    <xdr:to>
      <xdr:col>52</xdr:col>
      <xdr:colOff>401924</xdr:colOff>
      <xdr:row>160</xdr:row>
      <xdr:rowOff>63366</xdr:rowOff>
    </xdr:to>
    <xdr:graphicFrame macro="">
      <xdr:nvGraphicFramePr>
        <xdr:cNvPr id="25" name="Chart 24">
          <a:extLst>
            <a:ext uri="{FF2B5EF4-FFF2-40B4-BE49-F238E27FC236}">
              <a16:creationId xmlns:a16="http://schemas.microsoft.com/office/drawing/2014/main" id="{DED2FADF-7875-D572-6FC1-81BBCDFD3A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43</xdr:col>
      <xdr:colOff>314477</xdr:colOff>
      <xdr:row>160</xdr:row>
      <xdr:rowOff>102505</xdr:rowOff>
    </xdr:from>
    <xdr:to>
      <xdr:col>52</xdr:col>
      <xdr:colOff>401924</xdr:colOff>
      <xdr:row>179</xdr:row>
      <xdr:rowOff>148032</xdr:rowOff>
    </xdr:to>
    <xdr:graphicFrame macro="">
      <xdr:nvGraphicFramePr>
        <xdr:cNvPr id="26" name="Chart 25">
          <a:extLst>
            <a:ext uri="{FF2B5EF4-FFF2-40B4-BE49-F238E27FC236}">
              <a16:creationId xmlns:a16="http://schemas.microsoft.com/office/drawing/2014/main" id="{193A61A3-732E-9143-3FD7-BC73BE87AA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19</xdr:col>
      <xdr:colOff>107077</xdr:colOff>
      <xdr:row>85</xdr:row>
      <xdr:rowOff>75202</xdr:rowOff>
    </xdr:from>
    <xdr:to>
      <xdr:col>26</xdr:col>
      <xdr:colOff>216645</xdr:colOff>
      <xdr:row>102</xdr:row>
      <xdr:rowOff>24403</xdr:rowOff>
    </xdr:to>
    <xdr:graphicFrame macro="">
      <xdr:nvGraphicFramePr>
        <xdr:cNvPr id="27" name="Chart 26">
          <a:extLst>
            <a:ext uri="{FF2B5EF4-FFF2-40B4-BE49-F238E27FC236}">
              <a16:creationId xmlns:a16="http://schemas.microsoft.com/office/drawing/2014/main" id="{90E50C5D-4967-432C-50D4-A097D0009F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26</xdr:col>
      <xdr:colOff>586265</xdr:colOff>
      <xdr:row>87</xdr:row>
      <xdr:rowOff>103308</xdr:rowOff>
    </xdr:from>
    <xdr:to>
      <xdr:col>34</xdr:col>
      <xdr:colOff>54786</xdr:colOff>
      <xdr:row>104</xdr:row>
      <xdr:rowOff>52507</xdr:rowOff>
    </xdr:to>
    <xdr:graphicFrame macro="">
      <xdr:nvGraphicFramePr>
        <xdr:cNvPr id="28" name="Chart 27">
          <a:extLst>
            <a:ext uri="{FF2B5EF4-FFF2-40B4-BE49-F238E27FC236}">
              <a16:creationId xmlns:a16="http://schemas.microsoft.com/office/drawing/2014/main" id="{CB0B2890-0CA4-FBE4-A78A-31CE61AB59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15</xdr:col>
      <xdr:colOff>399142</xdr:colOff>
      <xdr:row>233</xdr:row>
      <xdr:rowOff>97972</xdr:rowOff>
    </xdr:from>
    <xdr:to>
      <xdr:col>22</xdr:col>
      <xdr:colOff>440265</xdr:colOff>
      <xdr:row>250</xdr:row>
      <xdr:rowOff>65311</xdr:rowOff>
    </xdr:to>
    <xdr:graphicFrame macro="">
      <xdr:nvGraphicFramePr>
        <xdr:cNvPr id="30" name="Chart 29">
          <a:extLst>
            <a:ext uri="{FF2B5EF4-FFF2-40B4-BE49-F238E27FC236}">
              <a16:creationId xmlns:a16="http://schemas.microsoft.com/office/drawing/2014/main" id="{21599DC8-9374-8278-93FD-9D20D993C5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22</xdr:col>
      <xdr:colOff>520094</xdr:colOff>
      <xdr:row>233</xdr:row>
      <xdr:rowOff>97972</xdr:rowOff>
    </xdr:from>
    <xdr:to>
      <xdr:col>29</xdr:col>
      <xdr:colOff>604761</xdr:colOff>
      <xdr:row>250</xdr:row>
      <xdr:rowOff>65311</xdr:rowOff>
    </xdr:to>
    <xdr:graphicFrame macro="">
      <xdr:nvGraphicFramePr>
        <xdr:cNvPr id="31" name="Chart 30">
          <a:extLst>
            <a:ext uri="{FF2B5EF4-FFF2-40B4-BE49-F238E27FC236}">
              <a16:creationId xmlns:a16="http://schemas.microsoft.com/office/drawing/2014/main" id="{9389E10F-CEE9-7531-ABFC-1DE44AA8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20</xdr:col>
      <xdr:colOff>250371</xdr:colOff>
      <xdr:row>105</xdr:row>
      <xdr:rowOff>36286</xdr:rowOff>
    </xdr:from>
    <xdr:to>
      <xdr:col>27</xdr:col>
      <xdr:colOff>359940</xdr:colOff>
      <xdr:row>121</xdr:row>
      <xdr:rowOff>148771</xdr:rowOff>
    </xdr:to>
    <xdr:graphicFrame macro="">
      <xdr:nvGraphicFramePr>
        <xdr:cNvPr id="32" name="Chart 31">
          <a:extLst>
            <a:ext uri="{FF2B5EF4-FFF2-40B4-BE49-F238E27FC236}">
              <a16:creationId xmlns:a16="http://schemas.microsoft.com/office/drawing/2014/main" id="{9E5B12B7-3062-4968-B186-07DDCCFB8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27</xdr:col>
      <xdr:colOff>483810</xdr:colOff>
      <xdr:row>109</xdr:row>
      <xdr:rowOff>30238</xdr:rowOff>
    </xdr:from>
    <xdr:to>
      <xdr:col>34</xdr:col>
      <xdr:colOff>593378</xdr:colOff>
      <xdr:row>125</xdr:row>
      <xdr:rowOff>142724</xdr:rowOff>
    </xdr:to>
    <xdr:graphicFrame macro="">
      <xdr:nvGraphicFramePr>
        <xdr:cNvPr id="33" name="Chart 32">
          <a:extLst>
            <a:ext uri="{FF2B5EF4-FFF2-40B4-BE49-F238E27FC236}">
              <a16:creationId xmlns:a16="http://schemas.microsoft.com/office/drawing/2014/main" id="{91EBA046-8122-8EED-8BF7-CF425197A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34</xdr:col>
      <xdr:colOff>156476</xdr:colOff>
      <xdr:row>162</xdr:row>
      <xdr:rowOff>78552</xdr:rowOff>
    </xdr:from>
    <xdr:to>
      <xdr:col>39</xdr:col>
      <xdr:colOff>128112</xdr:colOff>
      <xdr:row>180</xdr:row>
      <xdr:rowOff>45170</xdr:rowOff>
    </xdr:to>
    <xdr:graphicFrame macro="">
      <xdr:nvGraphicFramePr>
        <xdr:cNvPr id="34" name="Chart 33">
          <a:extLst>
            <a:ext uri="{FF2B5EF4-FFF2-40B4-BE49-F238E27FC236}">
              <a16:creationId xmlns:a16="http://schemas.microsoft.com/office/drawing/2014/main" id="{4F1B60CB-D3F5-161F-8F05-B9B748803E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40</xdr:col>
      <xdr:colOff>319651</xdr:colOff>
      <xdr:row>191</xdr:row>
      <xdr:rowOff>115498</xdr:rowOff>
    </xdr:from>
    <xdr:to>
      <xdr:col>45</xdr:col>
      <xdr:colOff>291288</xdr:colOff>
      <xdr:row>209</xdr:row>
      <xdr:rowOff>82115</xdr:rowOff>
    </xdr:to>
    <xdr:graphicFrame macro="">
      <xdr:nvGraphicFramePr>
        <xdr:cNvPr id="35" name="Chart 34">
          <a:extLst>
            <a:ext uri="{FF2B5EF4-FFF2-40B4-BE49-F238E27FC236}">
              <a16:creationId xmlns:a16="http://schemas.microsoft.com/office/drawing/2014/main" id="{5F494BB3-4AC6-7488-69CE-4625E0F89C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26</xdr:col>
      <xdr:colOff>205887</xdr:colOff>
      <xdr:row>193</xdr:row>
      <xdr:rowOff>10781</xdr:rowOff>
    </xdr:from>
    <xdr:to>
      <xdr:col>33</xdr:col>
      <xdr:colOff>316813</xdr:colOff>
      <xdr:row>209</xdr:row>
      <xdr:rowOff>123268</xdr:rowOff>
    </xdr:to>
    <xdr:graphicFrame macro="">
      <xdr:nvGraphicFramePr>
        <xdr:cNvPr id="36" name="Chart 35">
          <a:extLst>
            <a:ext uri="{FF2B5EF4-FFF2-40B4-BE49-F238E27FC236}">
              <a16:creationId xmlns:a16="http://schemas.microsoft.com/office/drawing/2014/main" id="{B77DEAA3-5E27-15AC-22D4-327E19F0E8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29</xdr:col>
      <xdr:colOff>257549</xdr:colOff>
      <xdr:row>212</xdr:row>
      <xdr:rowOff>127757</xdr:rowOff>
    </xdr:from>
    <xdr:to>
      <xdr:col>36</xdr:col>
      <xdr:colOff>352629</xdr:colOff>
      <xdr:row>229</xdr:row>
      <xdr:rowOff>76953</xdr:rowOff>
    </xdr:to>
    <xdr:graphicFrame macro="">
      <xdr:nvGraphicFramePr>
        <xdr:cNvPr id="37" name="Chart 36">
          <a:extLst>
            <a:ext uri="{FF2B5EF4-FFF2-40B4-BE49-F238E27FC236}">
              <a16:creationId xmlns:a16="http://schemas.microsoft.com/office/drawing/2014/main" id="{F3F6E10B-6CB5-189B-D99F-6E565AC1EC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11</xdr:col>
      <xdr:colOff>62345</xdr:colOff>
      <xdr:row>251</xdr:row>
      <xdr:rowOff>52558</xdr:rowOff>
    </xdr:from>
    <xdr:to>
      <xdr:col>23</xdr:col>
      <xdr:colOff>284018</xdr:colOff>
      <xdr:row>269</xdr:row>
      <xdr:rowOff>19176</xdr:rowOff>
    </xdr:to>
    <xdr:graphicFrame macro="">
      <xdr:nvGraphicFramePr>
        <xdr:cNvPr id="38" name="Chart 37">
          <a:extLst>
            <a:ext uri="{FF2B5EF4-FFF2-40B4-BE49-F238E27FC236}">
              <a16:creationId xmlns:a16="http://schemas.microsoft.com/office/drawing/2014/main" id="{795BE8E3-3E82-962C-F019-C623D78C7C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35</xdr:col>
      <xdr:colOff>365607</xdr:colOff>
      <xdr:row>197</xdr:row>
      <xdr:rowOff>120126</xdr:rowOff>
    </xdr:from>
    <xdr:to>
      <xdr:col>40</xdr:col>
      <xdr:colOff>337241</xdr:colOff>
      <xdr:row>215</xdr:row>
      <xdr:rowOff>89713</xdr:rowOff>
    </xdr:to>
    <xdr:graphicFrame macro="">
      <xdr:nvGraphicFramePr>
        <xdr:cNvPr id="19" name="Chart 18">
          <a:extLst>
            <a:ext uri="{FF2B5EF4-FFF2-40B4-BE49-F238E27FC236}">
              <a16:creationId xmlns:a16="http://schemas.microsoft.com/office/drawing/2014/main" id="{1A1851B4-4560-6E99-20A0-63A49AB158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23</xdr:col>
      <xdr:colOff>267306</xdr:colOff>
      <xdr:row>254</xdr:row>
      <xdr:rowOff>38101</xdr:rowOff>
    </xdr:from>
    <xdr:to>
      <xdr:col>30</xdr:col>
      <xdr:colOff>148774</xdr:colOff>
      <xdr:row>271</xdr:row>
      <xdr:rowOff>5444</xdr:rowOff>
    </xdr:to>
    <xdr:graphicFrame macro="">
      <xdr:nvGraphicFramePr>
        <xdr:cNvPr id="29" name="Chart 28">
          <a:extLst>
            <a:ext uri="{FF2B5EF4-FFF2-40B4-BE49-F238E27FC236}">
              <a16:creationId xmlns:a16="http://schemas.microsoft.com/office/drawing/2014/main" id="{252AE591-8899-6C4D-F4B3-ED3021358E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41</xdr:col>
      <xdr:colOff>642256</xdr:colOff>
      <xdr:row>33</xdr:row>
      <xdr:rowOff>164194</xdr:rowOff>
    </xdr:from>
    <xdr:to>
      <xdr:col>49</xdr:col>
      <xdr:colOff>191710</xdr:colOff>
      <xdr:row>52</xdr:row>
      <xdr:rowOff>123372</xdr:rowOff>
    </xdr:to>
    <xdr:graphicFrame macro="">
      <xdr:nvGraphicFramePr>
        <xdr:cNvPr id="39" name="Chart 38">
          <a:extLst>
            <a:ext uri="{FF2B5EF4-FFF2-40B4-BE49-F238E27FC236}">
              <a16:creationId xmlns:a16="http://schemas.microsoft.com/office/drawing/2014/main" id="{6E965F7F-C403-49D8-E708-E861801173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29</xdr:col>
      <xdr:colOff>41763</xdr:colOff>
      <xdr:row>98</xdr:row>
      <xdr:rowOff>162288</xdr:rowOff>
    </xdr:from>
    <xdr:to>
      <xdr:col>36</xdr:col>
      <xdr:colOff>151331</xdr:colOff>
      <xdr:row>115</xdr:row>
      <xdr:rowOff>111489</xdr:rowOff>
    </xdr:to>
    <xdr:graphicFrame macro="">
      <xdr:nvGraphicFramePr>
        <xdr:cNvPr id="40" name="Chart 39">
          <a:extLst>
            <a:ext uri="{FF2B5EF4-FFF2-40B4-BE49-F238E27FC236}">
              <a16:creationId xmlns:a16="http://schemas.microsoft.com/office/drawing/2014/main" id="{2513E2EB-D016-149B-051C-AC019291CA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25</xdr:col>
      <xdr:colOff>609600</xdr:colOff>
      <xdr:row>61</xdr:row>
      <xdr:rowOff>57150</xdr:rowOff>
    </xdr:from>
    <xdr:to>
      <xdr:col>33</xdr:col>
      <xdr:colOff>33369</xdr:colOff>
      <xdr:row>78</xdr:row>
      <xdr:rowOff>9066</xdr:rowOff>
    </xdr:to>
    <xdr:graphicFrame macro="">
      <xdr:nvGraphicFramePr>
        <xdr:cNvPr id="41" name="Chart 40">
          <a:extLst>
            <a:ext uri="{FF2B5EF4-FFF2-40B4-BE49-F238E27FC236}">
              <a16:creationId xmlns:a16="http://schemas.microsoft.com/office/drawing/2014/main" id="{6DD777B3-FF7B-4C82-B65A-D1F65CB97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15</xdr:col>
      <xdr:colOff>27393</xdr:colOff>
      <xdr:row>16</xdr:row>
      <xdr:rowOff>140944</xdr:rowOff>
    </xdr:from>
    <xdr:to>
      <xdr:col>21</xdr:col>
      <xdr:colOff>98953</xdr:colOff>
      <xdr:row>34</xdr:row>
      <xdr:rowOff>7541</xdr:rowOff>
    </xdr:to>
    <xdr:graphicFrame macro="">
      <xdr:nvGraphicFramePr>
        <xdr:cNvPr id="12" name="Chart 11">
          <a:extLst>
            <a:ext uri="{FF2B5EF4-FFF2-40B4-BE49-F238E27FC236}">
              <a16:creationId xmlns:a16="http://schemas.microsoft.com/office/drawing/2014/main" id="{33FE9F5E-BC91-306F-0AF7-3992D20D07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278468</xdr:colOff>
      <xdr:row>0</xdr:row>
      <xdr:rowOff>160020</xdr:rowOff>
    </xdr:from>
    <xdr:to>
      <xdr:col>10</xdr:col>
      <xdr:colOff>354117</xdr:colOff>
      <xdr:row>39</xdr:row>
      <xdr:rowOff>8577</xdr:rowOff>
    </xdr:to>
    <xdr:pic>
      <xdr:nvPicPr>
        <xdr:cNvPr id="2" name="Picture 1">
          <a:extLst>
            <a:ext uri="{FF2B5EF4-FFF2-40B4-BE49-F238E27FC236}">
              <a16:creationId xmlns:a16="http://schemas.microsoft.com/office/drawing/2014/main" id="{48AF5C82-6151-752F-F3E8-EA7E9EBF5CB1}"/>
            </a:ext>
          </a:extLst>
        </xdr:cNvPr>
        <xdr:cNvPicPr>
          <a:picLocks noChangeAspect="1"/>
        </xdr:cNvPicPr>
      </xdr:nvPicPr>
      <xdr:blipFill>
        <a:blip xmlns:r="http://schemas.openxmlformats.org/officeDocument/2006/relationships" r:embed="rId1"/>
        <a:stretch>
          <a:fillRect/>
        </a:stretch>
      </xdr:blipFill>
      <xdr:spPr>
        <a:xfrm>
          <a:off x="278468" y="160020"/>
          <a:ext cx="7060649" cy="6386517"/>
        </a:xfrm>
        <a:prstGeom prst="rect">
          <a:avLst/>
        </a:prstGeom>
      </xdr:spPr>
    </xdr:pic>
    <xdr:clientData/>
  </xdr:twoCellAnchor>
  <xdr:twoCellAnchor editAs="oneCell">
    <xdr:from>
      <xdr:col>10</xdr:col>
      <xdr:colOff>655320</xdr:colOff>
      <xdr:row>0</xdr:row>
      <xdr:rowOff>137160</xdr:rowOff>
    </xdr:from>
    <xdr:to>
      <xdr:col>21</xdr:col>
      <xdr:colOff>302640</xdr:colOff>
      <xdr:row>38</xdr:row>
      <xdr:rowOff>63744</xdr:rowOff>
    </xdr:to>
    <xdr:pic>
      <xdr:nvPicPr>
        <xdr:cNvPr id="3" name="Picture 2">
          <a:extLst>
            <a:ext uri="{FF2B5EF4-FFF2-40B4-BE49-F238E27FC236}">
              <a16:creationId xmlns:a16="http://schemas.microsoft.com/office/drawing/2014/main" id="{E0533EF0-8E4A-30F6-8310-4AD37C16E43B}"/>
            </a:ext>
          </a:extLst>
        </xdr:cNvPr>
        <xdr:cNvPicPr>
          <a:picLocks noChangeAspect="1"/>
        </xdr:cNvPicPr>
      </xdr:nvPicPr>
      <xdr:blipFill>
        <a:blip xmlns:r="http://schemas.openxmlformats.org/officeDocument/2006/relationships" r:embed="rId2"/>
        <a:stretch>
          <a:fillRect/>
        </a:stretch>
      </xdr:blipFill>
      <xdr:spPr>
        <a:xfrm>
          <a:off x="7360920" y="137160"/>
          <a:ext cx="7182852" cy="6296904"/>
        </a:xfrm>
        <a:prstGeom prst="rect">
          <a:avLst/>
        </a:prstGeom>
      </xdr:spPr>
    </xdr:pic>
    <xdr:clientData/>
  </xdr:twoCellAnchor>
  <xdr:twoCellAnchor editAs="oneCell">
    <xdr:from>
      <xdr:col>0</xdr:col>
      <xdr:colOff>161365</xdr:colOff>
      <xdr:row>41</xdr:row>
      <xdr:rowOff>125505</xdr:rowOff>
    </xdr:from>
    <xdr:to>
      <xdr:col>13</xdr:col>
      <xdr:colOff>16737</xdr:colOff>
      <xdr:row>78</xdr:row>
      <xdr:rowOff>34484</xdr:rowOff>
    </xdr:to>
    <xdr:pic>
      <xdr:nvPicPr>
        <xdr:cNvPr id="4" name="Picture 3">
          <a:extLst>
            <a:ext uri="{FF2B5EF4-FFF2-40B4-BE49-F238E27FC236}">
              <a16:creationId xmlns:a16="http://schemas.microsoft.com/office/drawing/2014/main" id="{A6470211-3758-B3CD-51A7-CDA6841A2D86}"/>
            </a:ext>
          </a:extLst>
        </xdr:cNvPr>
        <xdr:cNvPicPr>
          <a:picLocks noChangeAspect="1"/>
        </xdr:cNvPicPr>
      </xdr:nvPicPr>
      <xdr:blipFill>
        <a:blip xmlns:r="http://schemas.openxmlformats.org/officeDocument/2006/relationships" r:embed="rId3"/>
        <a:stretch>
          <a:fillRect/>
        </a:stretch>
      </xdr:blipFill>
      <xdr:spPr>
        <a:xfrm>
          <a:off x="161365" y="7109011"/>
          <a:ext cx="8849960" cy="62111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257597</xdr:colOff>
      <xdr:row>160</xdr:row>
      <xdr:rowOff>159373</xdr:rowOff>
    </xdr:from>
    <xdr:to>
      <xdr:col>23</xdr:col>
      <xdr:colOff>607366</xdr:colOff>
      <xdr:row>185</xdr:row>
      <xdr:rowOff>86375</xdr:rowOff>
    </xdr:to>
    <xdr:pic>
      <xdr:nvPicPr>
        <xdr:cNvPr id="2" name="Picture 1">
          <a:extLst>
            <a:ext uri="{FF2B5EF4-FFF2-40B4-BE49-F238E27FC236}">
              <a16:creationId xmlns:a16="http://schemas.microsoft.com/office/drawing/2014/main" id="{42A29126-D60D-9F6B-84A1-6613E5544F3B}"/>
            </a:ext>
          </a:extLst>
        </xdr:cNvPr>
        <xdr:cNvPicPr>
          <a:picLocks noChangeAspect="1"/>
        </xdr:cNvPicPr>
      </xdr:nvPicPr>
      <xdr:blipFill>
        <a:blip xmlns:r="http://schemas.openxmlformats.org/officeDocument/2006/relationships" r:embed="rId1"/>
        <a:stretch>
          <a:fillRect/>
        </a:stretch>
      </xdr:blipFill>
      <xdr:spPr>
        <a:xfrm>
          <a:off x="9710382" y="2295961"/>
          <a:ext cx="6774476" cy="4035826"/>
        </a:xfrm>
        <a:prstGeom prst="rect">
          <a:avLst/>
        </a:prstGeom>
      </xdr:spPr>
    </xdr:pic>
    <xdr:clientData/>
  </xdr:twoCellAnchor>
  <xdr:twoCellAnchor editAs="oneCell">
    <xdr:from>
      <xdr:col>13</xdr:col>
      <xdr:colOff>338167</xdr:colOff>
      <xdr:row>142</xdr:row>
      <xdr:rowOff>26146</xdr:rowOff>
    </xdr:from>
    <xdr:to>
      <xdr:col>27</xdr:col>
      <xdr:colOff>10113</xdr:colOff>
      <xdr:row>162</xdr:row>
      <xdr:rowOff>49399</xdr:rowOff>
    </xdr:to>
    <xdr:pic>
      <xdr:nvPicPr>
        <xdr:cNvPr id="3" name="Picture 2">
          <a:extLst>
            <a:ext uri="{FF2B5EF4-FFF2-40B4-BE49-F238E27FC236}">
              <a16:creationId xmlns:a16="http://schemas.microsoft.com/office/drawing/2014/main" id="{09B39DEC-29FC-489A-B62C-4137D50E27E8}"/>
            </a:ext>
          </a:extLst>
        </xdr:cNvPr>
        <xdr:cNvPicPr>
          <a:picLocks noChangeAspect="1"/>
        </xdr:cNvPicPr>
      </xdr:nvPicPr>
      <xdr:blipFill>
        <a:blip xmlns:r="http://schemas.openxmlformats.org/officeDocument/2006/relationships" r:embed="rId2"/>
        <a:stretch>
          <a:fillRect/>
        </a:stretch>
      </xdr:blipFill>
      <xdr:spPr>
        <a:xfrm>
          <a:off x="10647579" y="1738405"/>
          <a:ext cx="9210393" cy="3438803"/>
        </a:xfrm>
        <a:prstGeom prst="rect">
          <a:avLst/>
        </a:prstGeom>
      </xdr:spPr>
    </xdr:pic>
    <xdr:clientData/>
  </xdr:twoCellAnchor>
  <xdr:twoCellAnchor editAs="oneCell">
    <xdr:from>
      <xdr:col>1</xdr:col>
      <xdr:colOff>0</xdr:colOff>
      <xdr:row>163</xdr:row>
      <xdr:rowOff>0</xdr:rowOff>
    </xdr:from>
    <xdr:to>
      <xdr:col>6</xdr:col>
      <xdr:colOff>774630</xdr:colOff>
      <xdr:row>179</xdr:row>
      <xdr:rowOff>118937</xdr:rowOff>
    </xdr:to>
    <xdr:pic>
      <xdr:nvPicPr>
        <xdr:cNvPr id="4" name="Picture 3">
          <a:extLst>
            <a:ext uri="{FF2B5EF4-FFF2-40B4-BE49-F238E27FC236}">
              <a16:creationId xmlns:a16="http://schemas.microsoft.com/office/drawing/2014/main" id="{B8526EF8-556A-EA06-6D8E-55F57FB4B478}"/>
            </a:ext>
          </a:extLst>
        </xdr:cNvPr>
        <xdr:cNvPicPr>
          <a:picLocks noChangeAspect="1"/>
        </xdr:cNvPicPr>
      </xdr:nvPicPr>
      <xdr:blipFill>
        <a:blip xmlns:r="http://schemas.openxmlformats.org/officeDocument/2006/relationships" r:embed="rId3"/>
        <a:stretch>
          <a:fillRect/>
        </a:stretch>
      </xdr:blipFill>
      <xdr:spPr>
        <a:xfrm>
          <a:off x="681318" y="5298141"/>
          <a:ext cx="5859539" cy="2844207"/>
        </a:xfrm>
        <a:prstGeom prst="rect">
          <a:avLst/>
        </a:prstGeom>
      </xdr:spPr>
    </xdr:pic>
    <xdr:clientData/>
  </xdr:twoCellAnchor>
  <xdr:twoCellAnchor editAs="oneCell">
    <xdr:from>
      <xdr:col>19</xdr:col>
      <xdr:colOff>34504</xdr:colOff>
      <xdr:row>96</xdr:row>
      <xdr:rowOff>17786</xdr:rowOff>
    </xdr:from>
    <xdr:to>
      <xdr:col>27</xdr:col>
      <xdr:colOff>284095</xdr:colOff>
      <xdr:row>111</xdr:row>
      <xdr:rowOff>133757</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18987FDE-365B-29C7-A116-97B8876DCCB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941004" y="15562586"/>
              <a:ext cx="4973991" cy="2544846"/>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15</xdr:col>
      <xdr:colOff>618565</xdr:colOff>
      <xdr:row>103</xdr:row>
      <xdr:rowOff>44824</xdr:rowOff>
    </xdr:from>
    <xdr:to>
      <xdr:col>27</xdr:col>
      <xdr:colOff>406764</xdr:colOff>
      <xdr:row>110</xdr:row>
      <xdr:rowOff>71888</xdr:rowOff>
    </xdr:to>
    <xdr:pic>
      <xdr:nvPicPr>
        <xdr:cNvPr id="6" name="Picture 5">
          <a:extLst>
            <a:ext uri="{FF2B5EF4-FFF2-40B4-BE49-F238E27FC236}">
              <a16:creationId xmlns:a16="http://schemas.microsoft.com/office/drawing/2014/main" id="{1CAC9C47-E934-AC15-056D-D44C99CC2A3E}"/>
            </a:ext>
          </a:extLst>
        </xdr:cNvPr>
        <xdr:cNvPicPr>
          <a:picLocks noChangeAspect="1"/>
        </xdr:cNvPicPr>
      </xdr:nvPicPr>
      <xdr:blipFill>
        <a:blip xmlns:r="http://schemas.openxmlformats.org/officeDocument/2006/relationships" r:embed="rId5"/>
        <a:stretch>
          <a:fillRect/>
        </a:stretch>
      </xdr:blipFill>
      <xdr:spPr>
        <a:xfrm>
          <a:off x="12290612" y="555812"/>
          <a:ext cx="7964011" cy="1219370"/>
        </a:xfrm>
        <a:prstGeom prst="rect">
          <a:avLst/>
        </a:prstGeom>
      </xdr:spPr>
    </xdr:pic>
    <xdr:clientData/>
  </xdr:twoCellAnchor>
  <xdr:twoCellAnchor>
    <xdr:from>
      <xdr:col>8</xdr:col>
      <xdr:colOff>495550</xdr:colOff>
      <xdr:row>135</xdr:row>
      <xdr:rowOff>10459</xdr:rowOff>
    </xdr:from>
    <xdr:to>
      <xdr:col>16</xdr:col>
      <xdr:colOff>89647</xdr:colOff>
      <xdr:row>151</xdr:row>
      <xdr:rowOff>109070</xdr:rowOff>
    </xdr:to>
    <xdr:graphicFrame macro="">
      <xdr:nvGraphicFramePr>
        <xdr:cNvPr id="8" name="Chart 7">
          <a:extLst>
            <a:ext uri="{FF2B5EF4-FFF2-40B4-BE49-F238E27FC236}">
              <a16:creationId xmlns:a16="http://schemas.microsoft.com/office/drawing/2014/main" id="{9AF435DA-8B12-6ACD-083A-77E108BDAA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17</xdr:col>
      <xdr:colOff>393107</xdr:colOff>
      <xdr:row>33</xdr:row>
      <xdr:rowOff>74705</xdr:rowOff>
    </xdr:from>
    <xdr:to>
      <xdr:col>25</xdr:col>
      <xdr:colOff>569923</xdr:colOff>
      <xdr:row>49</xdr:row>
      <xdr:rowOff>133477</xdr:rowOff>
    </xdr:to>
    <xdr:pic>
      <xdr:nvPicPr>
        <xdr:cNvPr id="7" name="Picture 6">
          <a:extLst>
            <a:ext uri="{FF2B5EF4-FFF2-40B4-BE49-F238E27FC236}">
              <a16:creationId xmlns:a16="http://schemas.microsoft.com/office/drawing/2014/main" id="{95AFC9F6-00F1-85C9-6532-3D738E45BD44}"/>
            </a:ext>
          </a:extLst>
        </xdr:cNvPr>
        <xdr:cNvPicPr>
          <a:picLocks noChangeAspect="1"/>
        </xdr:cNvPicPr>
      </xdr:nvPicPr>
      <xdr:blipFill>
        <a:blip xmlns:r="http://schemas.openxmlformats.org/officeDocument/2006/relationships" r:embed="rId7"/>
        <a:stretch>
          <a:fillRect/>
        </a:stretch>
      </xdr:blipFill>
      <xdr:spPr>
        <a:xfrm>
          <a:off x="12679734" y="1225176"/>
          <a:ext cx="5276738" cy="2688419"/>
        </a:xfrm>
        <a:prstGeom prst="rect">
          <a:avLst/>
        </a:prstGeom>
      </xdr:spPr>
    </xdr:pic>
    <xdr:clientData/>
  </xdr:twoCellAnchor>
  <xdr:twoCellAnchor editAs="oneCell">
    <xdr:from>
      <xdr:col>17</xdr:col>
      <xdr:colOff>393450</xdr:colOff>
      <xdr:row>50</xdr:row>
      <xdr:rowOff>5736</xdr:rowOff>
    </xdr:from>
    <xdr:to>
      <xdr:col>25</xdr:col>
      <xdr:colOff>587685</xdr:colOff>
      <xdr:row>66</xdr:row>
      <xdr:rowOff>82295</xdr:rowOff>
    </xdr:to>
    <xdr:pic>
      <xdr:nvPicPr>
        <xdr:cNvPr id="9" name="Picture 8">
          <a:extLst>
            <a:ext uri="{FF2B5EF4-FFF2-40B4-BE49-F238E27FC236}">
              <a16:creationId xmlns:a16="http://schemas.microsoft.com/office/drawing/2014/main" id="{8EA2681C-7220-645A-9FCB-96B87C427983}"/>
            </a:ext>
          </a:extLst>
        </xdr:cNvPr>
        <xdr:cNvPicPr>
          <a:picLocks noChangeAspect="1"/>
        </xdr:cNvPicPr>
      </xdr:nvPicPr>
      <xdr:blipFill>
        <a:blip xmlns:r="http://schemas.openxmlformats.org/officeDocument/2006/relationships" r:embed="rId8"/>
        <a:stretch>
          <a:fillRect/>
        </a:stretch>
      </xdr:blipFill>
      <xdr:spPr>
        <a:xfrm>
          <a:off x="12680077" y="3950207"/>
          <a:ext cx="5294157" cy="2706206"/>
        </a:xfrm>
        <a:prstGeom prst="rect">
          <a:avLst/>
        </a:prstGeom>
      </xdr:spPr>
    </xdr:pic>
    <xdr:clientData/>
  </xdr:twoCellAnchor>
  <xdr:twoCellAnchor editAs="oneCell">
    <xdr:from>
      <xdr:col>18</xdr:col>
      <xdr:colOff>104589</xdr:colOff>
      <xdr:row>22</xdr:row>
      <xdr:rowOff>93794</xdr:rowOff>
    </xdr:from>
    <xdr:to>
      <xdr:col>25</xdr:col>
      <xdr:colOff>476970</xdr:colOff>
      <xdr:row>33</xdr:row>
      <xdr:rowOff>11128</xdr:rowOff>
    </xdr:to>
    <xdr:pic>
      <xdr:nvPicPr>
        <xdr:cNvPr id="10" name="Picture 9">
          <a:extLst>
            <a:ext uri="{FF2B5EF4-FFF2-40B4-BE49-F238E27FC236}">
              <a16:creationId xmlns:a16="http://schemas.microsoft.com/office/drawing/2014/main" id="{290784A4-57E4-4204-67B8-A726443F1F9E}"/>
            </a:ext>
          </a:extLst>
        </xdr:cNvPr>
        <xdr:cNvPicPr>
          <a:picLocks noChangeAspect="1"/>
        </xdr:cNvPicPr>
      </xdr:nvPicPr>
      <xdr:blipFill>
        <a:blip xmlns:r="http://schemas.openxmlformats.org/officeDocument/2006/relationships" r:embed="rId9"/>
        <a:stretch>
          <a:fillRect/>
        </a:stretch>
      </xdr:blipFill>
      <xdr:spPr>
        <a:xfrm>
          <a:off x="13028707" y="258147"/>
          <a:ext cx="4834812" cy="1725216"/>
        </a:xfrm>
        <a:prstGeom prst="rect">
          <a:avLst/>
        </a:prstGeom>
      </xdr:spPr>
    </xdr:pic>
    <xdr:clientData/>
  </xdr:twoCellAnchor>
  <xdr:twoCellAnchor>
    <xdr:from>
      <xdr:col>7</xdr:col>
      <xdr:colOff>625927</xdr:colOff>
      <xdr:row>107</xdr:row>
      <xdr:rowOff>131233</xdr:rowOff>
    </xdr:from>
    <xdr:to>
      <xdr:col>18</xdr:col>
      <xdr:colOff>356807</xdr:colOff>
      <xdr:row>125</xdr:row>
      <xdr:rowOff>157238</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0AB27733-A1DD-3452-8584-BCAB9F21325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0"/>
            </a:graphicData>
          </a:graphic>
        </xdr:graphicFrame>
      </mc:Choice>
      <mc:Fallback>
        <xdr:sp macro="" textlink="">
          <xdr:nvSpPr>
            <xdr:cNvPr id="0" name=""/>
            <xdr:cNvSpPr>
              <a:spLocks noTextEdit="1"/>
            </xdr:cNvSpPr>
          </xdr:nvSpPr>
          <xdr:spPr>
            <a:xfrm>
              <a:off x="6340927" y="17457208"/>
              <a:ext cx="7331830" cy="2940655"/>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ewstreet1385.sharepoint.com/sites/Corp/Shared/TELECOMS/Interactive%20models/Valuation%20model/multmod.xlsx" TargetMode="External"/><Relationship Id="rId1" Type="http://schemas.openxmlformats.org/officeDocument/2006/relationships/externalLinkPath" Target="/sites/Corp/Shared/TELECOMS/Interactive%20models/Valuation%20model/multmo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FCFE.xlsx" TargetMode="External"/><Relationship Id="rId1" Type="http://schemas.openxmlformats.org/officeDocument/2006/relationships/externalLinkPath" Target="/sites/Corp/Shared/TELECOMS/STOCKS/EMEA/FCF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FDSCACHE__"/>
      <sheetName val="Cover"/>
      <sheetName val="Prices"/>
      <sheetName val="DM Multiples"/>
      <sheetName val="EM Multiples"/>
      <sheetName val="Tower Multiples"/>
      <sheetName val="Sectors"/>
      <sheetName val="Disclaimer"/>
      <sheetName val="AAF"/>
      <sheetName val="ADVANCED"/>
      <sheetName val="AMT"/>
      <sheetName val="AMX"/>
      <sheetName val="ATCUS"/>
      <sheetName val="FYBR"/>
      <sheetName val="ATT"/>
      <sheetName val="AXI"/>
      <sheetName val="BHART"/>
      <sheetName val="BHIN"/>
      <sheetName val="BOUY"/>
      <sheetName val="BT"/>
      <sheetName val="CCI"/>
      <sheetName val="ChinaTow"/>
      <sheetName val="CHTR"/>
      <sheetName val="CMCSA"/>
      <sheetName val="CLNX"/>
      <sheetName val="_CM"/>
      <sheetName val="_CT"/>
      <sheetName val="_CU"/>
      <sheetName val="DIGI"/>
      <sheetName val="DRI"/>
      <sheetName val="DT"/>
      <sheetName val="ELISA"/>
      <sheetName val="ENTEL"/>
      <sheetName val="ETL"/>
      <sheetName val="HTWS"/>
      <sheetName val="IDEA"/>
      <sheetName val="IHS"/>
      <sheetName val="INWIT"/>
      <sheetName val="INDO"/>
      <sheetName val="KDDI"/>
      <sheetName val="KPN"/>
      <sheetName val="_KT"/>
      <sheetName val="_LG"/>
      <sheetName val="LBTY"/>
      <sheetName val="LiLAC"/>
      <sheetName val="MAXI"/>
      <sheetName val="MEGA"/>
      <sheetName val="MILLI"/>
      <sheetName val="MITRA"/>
      <sheetName val="MTN"/>
      <sheetName val="NOS"/>
      <sheetName val="NTT"/>
      <sheetName val="OBEL"/>
      <sheetName val="ORA"/>
      <sheetName val="OTE"/>
      <sheetName val="PROX"/>
      <sheetName val="PTT"/>
      <sheetName val="RAK"/>
      <sheetName val="SAF"/>
      <sheetName val="SATS"/>
      <sheetName val="SBAC"/>
      <sheetName val="SBKK"/>
      <sheetName val="SES"/>
      <sheetName val="SINGTEL"/>
      <sheetName val="SITES"/>
      <sheetName val="SKT"/>
      <sheetName val="SUNN"/>
      <sheetName val="SWISS"/>
      <sheetName val="TBIG"/>
      <sheetName val="TELE2"/>
      <sheetName val="TEF"/>
      <sheetName val="TELIA"/>
      <sheetName val="TI"/>
      <sheetName val="TIMP"/>
      <sheetName val="TMUS"/>
      <sheetName val="TNOR"/>
      <sheetName val="TOWR"/>
      <sheetName val="TRUECORP"/>
      <sheetName val="TVIS"/>
      <sheetName val="UTDI"/>
      <sheetName val="VIMP"/>
      <sheetName val="VIVO"/>
      <sheetName val="VODA"/>
      <sheetName val="VOD"/>
      <sheetName val="VZN"/>
      <sheetName val="ZEG"/>
      <sheetName val="XLAX"/>
      <sheetName val="PROPORTIONATES"/>
      <sheetName val="US TELCO"/>
      <sheetName val="US OTHER"/>
      <sheetName val="US TOWERS"/>
      <sheetName val="US AGG"/>
      <sheetName val="W.EUR INCUMB"/>
      <sheetName val="W.EUR OTHER"/>
      <sheetName val="W.EUR TOWERS"/>
      <sheetName val="W.EUR AGG"/>
      <sheetName val="W.EUR AGG (ex Towers)"/>
      <sheetName val="DM ASIA INCUMB"/>
      <sheetName val="DM ASIA OTHER"/>
      <sheetName val="AGG DM ASIA"/>
      <sheetName val="LATAM INCUMB"/>
      <sheetName val="LATAM OTHER"/>
      <sheetName val="LATAM AGG"/>
      <sheetName val="EMEA CELLULAR"/>
      <sheetName val="EMEA AGG"/>
      <sheetName val="EM ASIA INCUMB"/>
      <sheetName val="EM ASIA CELLULAR"/>
      <sheetName val="AGG EM ASIA"/>
      <sheetName val="AGG ASIA INCUMB"/>
      <sheetName val="AGG ASIA CELLULAR"/>
      <sheetName val="AGG ASIA"/>
      <sheetName val="AGG DM INCUMB"/>
      <sheetName val="AGG DM CELLULAR"/>
      <sheetName val="AGG DM"/>
      <sheetName val="EM INCUMB"/>
      <sheetName val="EM CELLULAR"/>
      <sheetName val="EM TOWERS"/>
      <sheetName val="AGG EM"/>
      <sheetName val="AXISOP"/>
      <sheetName val="BHARTSOP"/>
      <sheetName val="BOUYSOP"/>
      <sheetName val="DTSOP"/>
      <sheetName val="ELISASOP"/>
      <sheetName val="IDEASOP"/>
      <sheetName val="KPNSOP"/>
      <sheetName val="MTNSOP"/>
      <sheetName val="OBELSOP"/>
      <sheetName val="ORASOP"/>
      <sheetName val="OTESOP"/>
      <sheetName val="PROXSOP"/>
      <sheetName val="SWISSSOP"/>
      <sheetName val="TEFSOP"/>
      <sheetName val="TELE2SOP"/>
      <sheetName val="TISOP"/>
      <sheetName val="TNORSOP"/>
      <sheetName val="TSONSOP"/>
      <sheetName val="UTDISOP"/>
      <sheetName val="VODSOP"/>
    </sheetNames>
    <sheetDataSet>
      <sheetData sheetId="0"/>
      <sheetData sheetId="1"/>
      <sheetData sheetId="2"/>
      <sheetData sheetId="3"/>
      <sheetData sheetId="4">
        <row r="4">
          <cell r="C4" t="str">
            <v>EMERGING MARKET MULTIPLES</v>
          </cell>
        </row>
        <row r="5">
          <cell r="I5" t="str">
            <v>2025E</v>
          </cell>
          <cell r="J5" t="str">
            <v>2026E</v>
          </cell>
          <cell r="K5" t="str">
            <v>2027E</v>
          </cell>
          <cell r="L5" t="str">
            <v>2028E</v>
          </cell>
        </row>
        <row r="6">
          <cell r="I6"/>
          <cell r="J6"/>
          <cell r="K6"/>
          <cell r="L6"/>
        </row>
        <row r="7">
          <cell r="C7"/>
          <cell r="I7" t="str">
            <v>EV/EBITDA</v>
          </cell>
          <cell r="J7"/>
          <cell r="K7"/>
          <cell r="L7"/>
        </row>
        <row r="8">
          <cell r="C8" t="str">
            <v>America Movil</v>
          </cell>
          <cell r="I8">
            <v>5.4903925925851285</v>
          </cell>
          <cell r="J8">
            <v>4.7144853996049312</v>
          </cell>
          <cell r="K8">
            <v>4.3065970230940867</v>
          </cell>
          <cell r="L8">
            <v>3.9124231656173909</v>
          </cell>
        </row>
        <row r="9">
          <cell r="C9" t="str">
            <v>Vivo</v>
          </cell>
          <cell r="I9">
            <v>4.6078701950954049</v>
          </cell>
          <cell r="J9">
            <v>3.9338516115471029</v>
          </cell>
          <cell r="K9">
            <v>3.4926023102812103</v>
          </cell>
          <cell r="L9">
            <v>2.8656548787091114</v>
          </cell>
        </row>
        <row r="10">
          <cell r="C10" t="str">
            <v>Televisa</v>
          </cell>
          <cell r="I10">
            <v>2.1015300479470436</v>
          </cell>
          <cell r="J10">
            <v>1.9956894772950657</v>
          </cell>
          <cell r="K10">
            <v>1.7727617090473764</v>
          </cell>
          <cell r="L10">
            <v>1.4371323918048515</v>
          </cell>
        </row>
        <row r="11">
          <cell r="C11" t="str">
            <v>Agg. LatAm Incumbent</v>
          </cell>
          <cell r="I11">
            <v>5.1847890063597148</v>
          </cell>
          <cell r="J11">
            <v>4.4697812808582036</v>
          </cell>
          <cell r="K11">
            <v>4.0614269222212931</v>
          </cell>
          <cell r="L11">
            <v>3.6211097583882546</v>
          </cell>
        </row>
        <row r="12">
          <cell r="C12"/>
          <cell r="I12"/>
          <cell r="J12"/>
          <cell r="K12"/>
          <cell r="L12"/>
        </row>
        <row r="13">
          <cell r="C13" t="str">
            <v>China Telecom</v>
          </cell>
          <cell r="I13">
            <v>2.0234127673900923</v>
          </cell>
          <cell r="J13">
            <v>1.7842009770700733</v>
          </cell>
          <cell r="K13">
            <v>1.7867023352300853</v>
          </cell>
          <cell r="L13">
            <v>1.5524362048347222</v>
          </cell>
        </row>
        <row r="14">
          <cell r="C14" t="str">
            <v>China Unicom</v>
          </cell>
          <cell r="I14">
            <v>1.7078854381307822</v>
          </cell>
          <cell r="J14">
            <v>1.4920840858773095</v>
          </cell>
          <cell r="K14">
            <v>1.5000081211360297</v>
          </cell>
          <cell r="L14">
            <v>1.2588424461609191</v>
          </cell>
        </row>
        <row r="15">
          <cell r="C15" t="str">
            <v>KT Corp</v>
          </cell>
          <cell r="I15">
            <v>2.6273001371650371</v>
          </cell>
          <cell r="J15">
            <v>2.2701564295691381</v>
          </cell>
          <cell r="K15">
            <v>1.8412523151909328</v>
          </cell>
          <cell r="L15">
            <v>1.4123704012599565</v>
          </cell>
        </row>
        <row r="16">
          <cell r="C16" t="str">
            <v>Telkom Indonesia</v>
          </cell>
          <cell r="I16">
            <v>7.766220650864252</v>
          </cell>
          <cell r="J16">
            <v>7.2898779030241414</v>
          </cell>
          <cell r="K16">
            <v>6.7584327123491619</v>
          </cell>
          <cell r="L16">
            <v>6.2421319148439274</v>
          </cell>
        </row>
        <row r="17">
          <cell r="C17" t="str">
            <v>Agg. Emerging Asia Incumbent</v>
          </cell>
          <cell r="I17">
            <v>2.5731184445555382</v>
          </cell>
          <cell r="J17">
            <v>2.3147477416335236</v>
          </cell>
          <cell r="K17">
            <v>2.2276052255098211</v>
          </cell>
          <cell r="L17">
            <v>1.9477283653734931</v>
          </cell>
        </row>
        <row r="18">
          <cell r="C18"/>
          <cell r="I18"/>
          <cell r="J18"/>
          <cell r="K18"/>
          <cell r="L18"/>
        </row>
        <row r="19">
          <cell r="C19" t="str">
            <v>Agg. Emerging Incumbent</v>
          </cell>
          <cell r="I19">
            <v>3.5203728418496976</v>
          </cell>
          <cell r="J19">
            <v>3.1243276676497529</v>
          </cell>
          <cell r="K19">
            <v>2.9179574526021343</v>
          </cell>
          <cell r="L19">
            <v>2.5766812827169674</v>
          </cell>
        </row>
        <row r="20">
          <cell r="C20"/>
          <cell r="I20"/>
          <cell r="J20"/>
          <cell r="K20"/>
          <cell r="L20"/>
        </row>
        <row r="21">
          <cell r="C21" t="str">
            <v>Airtel Africa</v>
          </cell>
          <cell r="I21">
            <v>8.2435718303534635</v>
          </cell>
          <cell r="J21">
            <v>6.3452456576911143</v>
          </cell>
          <cell r="K21">
            <v>5.1358921863013673</v>
          </cell>
          <cell r="L21">
            <v>4.2076200744307481</v>
          </cell>
        </row>
        <row r="22">
          <cell r="C22" t="str">
            <v>MTN</v>
          </cell>
          <cell r="I22">
            <v>6.2546096310415091</v>
          </cell>
          <cell r="J22">
            <v>5.0242845043625906</v>
          </cell>
          <cell r="K22">
            <v>3.9862306987794014</v>
          </cell>
          <cell r="L22">
            <v>3.2703475555360919</v>
          </cell>
        </row>
        <row r="23">
          <cell r="C23" t="str">
            <v>Safaricom</v>
          </cell>
          <cell r="I23">
            <v>5.5990467942438977</v>
          </cell>
          <cell r="J23">
            <v>4.8299878567930854</v>
          </cell>
          <cell r="K23">
            <v>4.2536251038328636</v>
          </cell>
          <cell r="L23">
            <v>3.6771008705226107</v>
          </cell>
        </row>
        <row r="24">
          <cell r="C24" t="str">
            <v>VEON</v>
          </cell>
          <cell r="I24">
            <v>4.482477015714518</v>
          </cell>
          <cell r="J24">
            <v>3.9369772181449032</v>
          </cell>
          <cell r="K24">
            <v>3.4280182209687906</v>
          </cell>
          <cell r="L24">
            <v>2.9696201394056985</v>
          </cell>
        </row>
        <row r="25">
          <cell r="C25" t="str">
            <v>Vodacom</v>
          </cell>
          <cell r="I25">
            <v>6.7909993616247419</v>
          </cell>
          <cell r="J25">
            <v>5.6034552138284139</v>
          </cell>
          <cell r="K25">
            <v>4.4930596192991583</v>
          </cell>
          <cell r="L25">
            <v>3.6104399859302978</v>
          </cell>
        </row>
        <row r="26">
          <cell r="C26" t="str">
            <v>Agg. EMEA Cellular</v>
          </cell>
          <cell r="I26">
            <v>6.374743561158537</v>
          </cell>
          <cell r="J26">
            <v>5.2223299316196359</v>
          </cell>
          <cell r="K26">
            <v>4.2686231235936676</v>
          </cell>
          <cell r="L26">
            <v>3.5277704453037444</v>
          </cell>
        </row>
        <row r="27">
          <cell r="C27"/>
          <cell r="I27"/>
          <cell r="J27"/>
          <cell r="K27"/>
          <cell r="L27"/>
        </row>
        <row r="28">
          <cell r="C28" t="str">
            <v>Entel</v>
          </cell>
          <cell r="I28">
            <v>4.1212762701708749</v>
          </cell>
          <cell r="J28">
            <v>3.9744582852782506</v>
          </cell>
          <cell r="K28">
            <v>3.8194933463453236</v>
          </cell>
          <cell r="L28">
            <v>3.6427062063438354</v>
          </cell>
        </row>
        <row r="29">
          <cell r="C29" t="str">
            <v>Millicom</v>
          </cell>
          <cell r="I29">
            <v>6.4289611217866307</v>
          </cell>
          <cell r="J29">
            <v>6.2268159054539494</v>
          </cell>
          <cell r="K29">
            <v>5.8666649160164965</v>
          </cell>
          <cell r="L29">
            <v>5.4967996342848338</v>
          </cell>
        </row>
        <row r="30">
          <cell r="C30" t="str">
            <v>TIM Participacoes</v>
          </cell>
          <cell r="I30">
            <v>3.1925268115282992</v>
          </cell>
          <cell r="J30">
            <v>2.5676255874554035</v>
          </cell>
          <cell r="K30">
            <v>1.9679602661021389</v>
          </cell>
          <cell r="L30">
            <v>1.4006467995771625</v>
          </cell>
        </row>
        <row r="31">
          <cell r="C31" t="str">
            <v>Megacable</v>
          </cell>
          <cell r="I31">
            <v>4.5563553576094868</v>
          </cell>
          <cell r="J31">
            <v>3.9217080138164651</v>
          </cell>
          <cell r="K31">
            <v>3.3355592364839568</v>
          </cell>
          <cell r="L31">
            <v>2.7689672860033641</v>
          </cell>
        </row>
        <row r="32">
          <cell r="C32" t="str">
            <v>LiLAC</v>
          </cell>
          <cell r="I32">
            <v>6.1203607017506387</v>
          </cell>
          <cell r="J32">
            <v>5.6137548306285838</v>
          </cell>
          <cell r="K32">
            <v>5.1966698060463559</v>
          </cell>
          <cell r="L32">
            <v>4.7737291880354951</v>
          </cell>
        </row>
        <row r="33">
          <cell r="C33" t="str">
            <v>Agg. LatAm Other</v>
          </cell>
          <cell r="I33">
            <v>4.9745307003111376</v>
          </cell>
          <cell r="J33">
            <v>4.4974981592811512</v>
          </cell>
          <cell r="K33">
            <v>4.0073283410307097</v>
          </cell>
          <cell r="L33">
            <v>3.5230522708902621</v>
          </cell>
        </row>
        <row r="34">
          <cell r="C34"/>
          <cell r="I34"/>
          <cell r="J34"/>
          <cell r="K34"/>
          <cell r="L34"/>
        </row>
        <row r="35">
          <cell r="C35" t="str">
            <v>AIS</v>
          </cell>
          <cell r="I35">
            <v>9.2179656648682435</v>
          </cell>
          <cell r="J35">
            <v>8.3364084015411262</v>
          </cell>
          <cell r="K35">
            <v>7.5532253523820021</v>
          </cell>
          <cell r="L35">
            <v>6.7816336817457348</v>
          </cell>
        </row>
        <row r="36">
          <cell r="C36" t="str">
            <v>Axiata</v>
          </cell>
          <cell r="I36">
            <v>6.8762288603488368</v>
          </cell>
          <cell r="J36">
            <v>7.7001979190924184</v>
          </cell>
          <cell r="K36">
            <v>7.0433545274723368</v>
          </cell>
          <cell r="L36">
            <v>6.4094215095281886</v>
          </cell>
        </row>
        <row r="37">
          <cell r="C37" t="str">
            <v>Bharti Airtel</v>
          </cell>
          <cell r="I37">
            <v>12.336023101065468</v>
          </cell>
          <cell r="J37">
            <v>10.167112496729041</v>
          </cell>
          <cell r="K37">
            <v>8.569487453501889</v>
          </cell>
          <cell r="L37">
            <v>7.3221036215541639</v>
          </cell>
        </row>
        <row r="38">
          <cell r="C38" t="str">
            <v>China Mobile</v>
          </cell>
          <cell r="I38">
            <v>3.9627039622122524</v>
          </cell>
          <cell r="J38">
            <v>3.4120890678072824</v>
          </cell>
          <cell r="K38">
            <v>3.0512080667078618</v>
          </cell>
          <cell r="L38">
            <v>2.4704924591337103</v>
          </cell>
        </row>
        <row r="39">
          <cell r="C39" t="str">
            <v>CelcomDigi</v>
          </cell>
          <cell r="I39">
            <v>9.1851171361886923</v>
          </cell>
          <cell r="J39">
            <v>8.5019997650957269</v>
          </cell>
          <cell r="K39">
            <v>7.7560374650339785</v>
          </cell>
          <cell r="L39">
            <v>6.9960780147835306</v>
          </cell>
        </row>
        <row r="40">
          <cell r="C40" t="str">
            <v>Vodafone IDEA</v>
          </cell>
          <cell r="I40">
            <v>15.296953679605446</v>
          </cell>
          <cell r="J40">
            <v>14.977532546192261</v>
          </cell>
          <cell r="K40">
            <v>15.202111154316164</v>
          </cell>
          <cell r="L40">
            <v>15.701027826257615</v>
          </cell>
        </row>
        <row r="41">
          <cell r="C41" t="str">
            <v>Indosat</v>
          </cell>
          <cell r="I41">
            <v>4.0804974309330557</v>
          </cell>
          <cell r="J41">
            <v>3.9640237996402381</v>
          </cell>
          <cell r="K41">
            <v>3.5530864197530865</v>
          </cell>
          <cell r="L41">
            <v>3.1683232100128844</v>
          </cell>
        </row>
        <row r="42">
          <cell r="C42" t="str">
            <v>LG Uplus</v>
          </cell>
          <cell r="I42">
            <v>3.6809397248904756</v>
          </cell>
          <cell r="J42">
            <v>3.4394998588770296</v>
          </cell>
          <cell r="K42">
            <v>3.1789345090225503</v>
          </cell>
          <cell r="L42">
            <v>2.9181168978880327</v>
          </cell>
        </row>
        <row r="43">
          <cell r="C43" t="str">
            <v>Maxis</v>
          </cell>
          <cell r="I43">
            <v>9.0681687107331985</v>
          </cell>
          <cell r="J43">
            <v>8.2690303982041016</v>
          </cell>
          <cell r="K43">
            <v>7.5515010665257716</v>
          </cell>
          <cell r="L43">
            <v>6.8596437254346361</v>
          </cell>
        </row>
        <row r="44">
          <cell r="C44" t="str">
            <v>SK Telecom</v>
          </cell>
          <cell r="I44">
            <v>4.3337254822124587</v>
          </cell>
          <cell r="J44">
            <v>3.8726810573439909</v>
          </cell>
          <cell r="K44">
            <v>3.525498518837781</v>
          </cell>
          <cell r="L44">
            <v>3.1723634888007148</v>
          </cell>
        </row>
        <row r="45">
          <cell r="C45" t="str">
            <v>True Corp</v>
          </cell>
          <cell r="I45">
            <v>7.6642962779703634</v>
          </cell>
          <cell r="J45">
            <v>6.6218585444613467</v>
          </cell>
          <cell r="K45">
            <v>5.9302734863114095</v>
          </cell>
          <cell r="L45">
            <v>5.3084788922323485</v>
          </cell>
        </row>
        <row r="46">
          <cell r="C46" t="str">
            <v>XL Axiata</v>
          </cell>
          <cell r="I46">
            <v>6.2318674172790827</v>
          </cell>
          <cell r="J46">
            <v>5.1091981231128392</v>
          </cell>
          <cell r="K46">
            <v>4.4795519371737349</v>
          </cell>
          <cell r="L46">
            <v>3.8928711540732466</v>
          </cell>
        </row>
        <row r="47">
          <cell r="C47" t="str">
            <v>Agg. Emerging Asia Cellular</v>
          </cell>
          <cell r="I47">
            <v>6.2613331632254461</v>
          </cell>
          <cell r="J47">
            <v>5.587799045019243</v>
          </cell>
          <cell r="K47">
            <v>5.0573542823046012</v>
          </cell>
          <cell r="L47">
            <v>4.4353413959532713</v>
          </cell>
        </row>
        <row r="48">
          <cell r="C48"/>
          <cell r="I48"/>
          <cell r="J48"/>
          <cell r="K48"/>
          <cell r="L48"/>
        </row>
        <row r="49">
          <cell r="C49" t="str">
            <v>Agg. Emerging  Cellular</v>
          </cell>
          <cell r="I49">
            <v>6.1739451727892298</v>
          </cell>
          <cell r="J49">
            <v>5.4556891016245466</v>
          </cell>
          <cell r="K49">
            <v>4.8652206795231336</v>
          </cell>
          <cell r="L49">
            <v>4.2302588915752386</v>
          </cell>
        </row>
        <row r="50">
          <cell r="C50"/>
          <cell r="I50"/>
          <cell r="J50"/>
          <cell r="K50"/>
          <cell r="L50"/>
        </row>
        <row r="51">
          <cell r="C51" t="str">
            <v>Agg. EMEA sector</v>
          </cell>
          <cell r="I51">
            <v>6.374743561158537</v>
          </cell>
          <cell r="J51">
            <v>5.2223299316196359</v>
          </cell>
          <cell r="K51">
            <v>4.2686231235936676</v>
          </cell>
          <cell r="L51">
            <v>3.5277704453037444</v>
          </cell>
        </row>
        <row r="52">
          <cell r="C52" t="str">
            <v>Agg. LatAm sector</v>
          </cell>
          <cell r="I52">
            <v>5.1326266969333005</v>
          </cell>
          <cell r="J52">
            <v>4.4764682429052325</v>
          </cell>
          <cell r="K52">
            <v>4.0482169740901286</v>
          </cell>
          <cell r="L52">
            <v>3.5968447479904144</v>
          </cell>
        </row>
        <row r="53">
          <cell r="C53" t="str">
            <v>Agg. Emerging Asia sector</v>
          </cell>
          <cell r="I53">
            <v>4.9959340459090305</v>
          </cell>
          <cell r="J53">
            <v>4.4832874392591897</v>
          </cell>
          <cell r="K53">
            <v>4.1132588818627411</v>
          </cell>
          <cell r="L53">
            <v>3.6136773853652273</v>
          </cell>
        </row>
        <row r="54">
          <cell r="C54"/>
          <cell r="I54"/>
          <cell r="J54"/>
          <cell r="K54"/>
          <cell r="L54"/>
        </row>
        <row r="55">
          <cell r="C55" t="str">
            <v>Agg. Global EM sector</v>
          </cell>
          <cell r="I55">
            <v>5.1224666799161804</v>
          </cell>
          <cell r="J55">
            <v>4.5409592297769432</v>
          </cell>
          <cell r="K55">
            <v>4.1143180432319797</v>
          </cell>
          <cell r="L55">
            <v>3.6024948927695157</v>
          </cell>
        </row>
        <row r="56">
          <cell r="C56"/>
          <cell r="I56"/>
          <cell r="J56"/>
          <cell r="K56"/>
          <cell r="L56"/>
        </row>
        <row r="57">
          <cell r="C57"/>
          <cell r="I57"/>
          <cell r="J57"/>
          <cell r="K57"/>
          <cell r="L57"/>
        </row>
        <row r="58">
          <cell r="C58"/>
          <cell r="I58" t="str">
            <v>EV/FCF</v>
          </cell>
          <cell r="J58"/>
          <cell r="K58"/>
          <cell r="L58"/>
          <cell r="O58" t="str">
            <v>P/Adj E</v>
          </cell>
          <cell r="P58"/>
          <cell r="Q58"/>
          <cell r="R58"/>
        </row>
        <row r="59">
          <cell r="C59" t="str">
            <v>America Movil</v>
          </cell>
          <cell r="I59">
            <v>11.839187595062286</v>
          </cell>
          <cell r="J59">
            <v>10.36390566670357</v>
          </cell>
          <cell r="K59">
            <v>9.4487663590359467</v>
          </cell>
          <cell r="L59">
            <v>8.31073408494834</v>
          </cell>
          <cell r="O59">
            <v>13.940457965116725</v>
          </cell>
          <cell r="P59">
            <v>11.131211144350045</v>
          </cell>
          <cell r="Q59">
            <v>9.8617531931895535</v>
          </cell>
          <cell r="R59">
            <v>8.9738074251319553</v>
          </cell>
        </row>
        <row r="60">
          <cell r="C60" t="str">
            <v>Vivo</v>
          </cell>
          <cell r="I60">
            <v>11.265655873597854</v>
          </cell>
          <cell r="J60">
            <v>9.3105866320730293</v>
          </cell>
          <cell r="K60">
            <v>8.060969162099461</v>
          </cell>
          <cell r="L60">
            <v>6.4682620028780713</v>
          </cell>
          <cell r="O60">
            <v>16.691377591178263</v>
          </cell>
          <cell r="P60">
            <v>13.270697508185885</v>
          </cell>
          <cell r="Q60">
            <v>10.349403861905015</v>
          </cell>
          <cell r="R60">
            <v>8.8882583589401616</v>
          </cell>
        </row>
        <row r="61">
          <cell r="C61" t="str">
            <v>Televisa</v>
          </cell>
          <cell r="I61">
            <v>7.851135248315023</v>
          </cell>
          <cell r="J61">
            <v>6.607711817729772</v>
          </cell>
          <cell r="K61">
            <v>5.2740849489806623</v>
          </cell>
          <cell r="L61">
            <v>4.0474099078200148</v>
          </cell>
          <cell r="O61">
            <v>-19.81499508576519</v>
          </cell>
          <cell r="P61">
            <v>-25.30066473340317</v>
          </cell>
          <cell r="Q61">
            <v>-44.686465791253418</v>
          </cell>
          <cell r="R61">
            <v>48.426674622696559</v>
          </cell>
        </row>
        <row r="62">
          <cell r="C62" t="str">
            <v>Agg. LatAm Incumbent</v>
          </cell>
          <cell r="I62">
            <v>11.641199870184703</v>
          </cell>
          <cell r="J62">
            <v>10.084332603470905</v>
          </cell>
          <cell r="K62">
            <v>9.0815418235126852</v>
          </cell>
          <cell r="L62">
            <v>7.8500878411534174</v>
          </cell>
          <cell r="O62">
            <v>14.947623586456203</v>
          </cell>
          <cell r="P62">
            <v>11.879650947759123</v>
          </cell>
          <cell r="Q62">
            <v>10.189309772512871</v>
          </cell>
          <cell r="R62">
            <v>9.0801996183434284</v>
          </cell>
        </row>
        <row r="63">
          <cell r="C63"/>
          <cell r="I63"/>
          <cell r="J63"/>
          <cell r="K63"/>
          <cell r="L63"/>
          <cell r="O63"/>
          <cell r="P63"/>
          <cell r="Q63"/>
          <cell r="R63"/>
        </row>
        <row r="64">
          <cell r="C64" t="str">
            <v>China Telecom</v>
          </cell>
          <cell r="I64">
            <v>5.9347695119644213</v>
          </cell>
          <cell r="J64">
            <v>4.7807219586907035</v>
          </cell>
          <cell r="K64">
            <v>4.52688459405777</v>
          </cell>
          <cell r="L64">
            <v>3.7664079631390175</v>
          </cell>
          <cell r="O64">
            <v>12.955694416563205</v>
          </cell>
          <cell r="P64">
            <v>11.928981445995355</v>
          </cell>
          <cell r="Q64">
            <v>11.046851911256102</v>
          </cell>
          <cell r="R64">
            <v>10.370863070088447</v>
          </cell>
        </row>
        <row r="65">
          <cell r="C65" t="str">
            <v>China Unicom</v>
          </cell>
          <cell r="I65">
            <v>4.8719786184320446</v>
          </cell>
          <cell r="J65">
            <v>3.922452961968665</v>
          </cell>
          <cell r="K65">
            <v>3.742419743582905</v>
          </cell>
          <cell r="L65">
            <v>2.9750959992703301</v>
          </cell>
          <cell r="O65">
            <v>12.872689004195855</v>
          </cell>
          <cell r="P65">
            <v>11.457266193087186</v>
          </cell>
          <cell r="Q65">
            <v>10.017462501932815</v>
          </cell>
          <cell r="R65">
            <v>8.7544010959427467</v>
          </cell>
        </row>
        <row r="66">
          <cell r="C66" t="str">
            <v>KT Corp</v>
          </cell>
          <cell r="I66">
            <v>7.0886542753555126</v>
          </cell>
          <cell r="J66">
            <v>6.0540298969623754</v>
          </cell>
          <cell r="K66">
            <v>4.8135326610428386</v>
          </cell>
          <cell r="L66">
            <v>3.6218510170908096</v>
          </cell>
          <cell r="O66">
            <v>7.5442110786749987</v>
          </cell>
          <cell r="P66">
            <v>7.0395851984033904</v>
          </cell>
          <cell r="Q66">
            <v>6.1798344067786344</v>
          </cell>
          <cell r="R66">
            <v>5.4788960814781751</v>
          </cell>
        </row>
        <row r="67">
          <cell r="C67" t="str">
            <v>Telkom Indonesia</v>
          </cell>
          <cell r="I67">
            <v>15.47581112731643</v>
          </cell>
          <cell r="J67">
            <v>14.527107782256621</v>
          </cell>
          <cell r="K67">
            <v>13.412733057723695</v>
          </cell>
          <cell r="L67">
            <v>12.37481104486389</v>
          </cell>
          <cell r="O67">
            <v>14.629366441750754</v>
          </cell>
          <cell r="P67">
            <v>14.325266411793192</v>
          </cell>
          <cell r="Q67">
            <v>13.726176377534077</v>
          </cell>
          <cell r="R67">
            <v>12.90943235456346</v>
          </cell>
        </row>
        <row r="68">
          <cell r="C68" t="str">
            <v>Agg. Emerging Asia Incumbent</v>
          </cell>
          <cell r="I68">
            <v>7.0792587775903515</v>
          </cell>
          <cell r="J68">
            <v>5.9497307094772189</v>
          </cell>
          <cell r="K68">
            <v>5.474264148400894</v>
          </cell>
          <cell r="L68">
            <v>4.6020980399304579</v>
          </cell>
          <cell r="O68">
            <v>12.573338975145072</v>
          </cell>
          <cell r="P68">
            <v>11.580444847822033</v>
          </cell>
          <cell r="Q68">
            <v>10.538837244511344</v>
          </cell>
          <cell r="R68">
            <v>9.6335680222483475</v>
          </cell>
        </row>
        <row r="69">
          <cell r="C69"/>
          <cell r="I69"/>
          <cell r="J69"/>
          <cell r="K69"/>
          <cell r="L69"/>
          <cell r="O69"/>
          <cell r="P69"/>
          <cell r="Q69"/>
          <cell r="R69"/>
        </row>
        <row r="70">
          <cell r="C70" t="str">
            <v>Agg. Emerging Incumbent</v>
          </cell>
          <cell r="I70">
            <v>8.9535542628313305</v>
          </cell>
          <cell r="J70">
            <v>7.6313282704605996</v>
          </cell>
          <cell r="K70">
            <v>6.9130786078741044</v>
          </cell>
          <cell r="L70">
            <v>5.8891532715634067</v>
          </cell>
          <cell r="O70">
            <v>13.410511403442596</v>
          </cell>
          <cell r="P70">
            <v>11.694763857054737</v>
          </cell>
          <cell r="Q70">
            <v>10.402032853718692</v>
          </cell>
          <cell r="R70">
            <v>9.4162467405324985</v>
          </cell>
        </row>
        <row r="71">
          <cell r="C71"/>
          <cell r="I71"/>
          <cell r="J71"/>
          <cell r="K71"/>
          <cell r="L71"/>
          <cell r="O71"/>
          <cell r="P71"/>
          <cell r="Q71"/>
          <cell r="R71"/>
        </row>
        <row r="72">
          <cell r="C72" t="str">
            <v>Airtel Africa</v>
          </cell>
          <cell r="I72">
            <v>19.433786468181488</v>
          </cell>
          <cell r="J72">
            <v>15.648000976762255</v>
          </cell>
          <cell r="K72">
            <v>11.595476666582295</v>
          </cell>
          <cell r="L72">
            <v>9.1927451325038163</v>
          </cell>
          <cell r="O72">
            <v>11.103608612248264</v>
          </cell>
          <cell r="P72">
            <v>11.366659716670538</v>
          </cell>
          <cell r="Q72">
            <v>8.4425218127859569</v>
          </cell>
          <cell r="R72">
            <v>6.5924966711838646</v>
          </cell>
        </row>
        <row r="73">
          <cell r="C73" t="str">
            <v>MTN</v>
          </cell>
          <cell r="I73">
            <v>18.015343067974626</v>
          </cell>
          <cell r="J73">
            <v>13.213589797939141</v>
          </cell>
          <cell r="K73">
            <v>9.9358300519628973</v>
          </cell>
          <cell r="L73">
            <v>7.9036368858704797</v>
          </cell>
          <cell r="O73">
            <v>11.910679811890954</v>
          </cell>
          <cell r="P73">
            <v>9.1027319895063101</v>
          </cell>
          <cell r="Q73">
            <v>7.0436616508212619</v>
          </cell>
          <cell r="R73">
            <v>5.9088259286025338</v>
          </cell>
        </row>
        <row r="74">
          <cell r="C74" t="str">
            <v>Safaricom</v>
          </cell>
          <cell r="I74">
            <v>15.570941653418988</v>
          </cell>
          <cell r="J74">
            <v>12.608622554461775</v>
          </cell>
          <cell r="K74">
            <v>10.763644682369389</v>
          </cell>
          <cell r="L74">
            <v>9.1377708118757681</v>
          </cell>
          <cell r="O74">
            <v>13.198900653175555</v>
          </cell>
          <cell r="P74">
            <v>12.189653410036168</v>
          </cell>
          <cell r="Q74">
            <v>11.647795806610562</v>
          </cell>
          <cell r="R74">
            <v>11.133595465196825</v>
          </cell>
        </row>
        <row r="75">
          <cell r="C75" t="str">
            <v>VEON</v>
          </cell>
          <cell r="I75">
            <v>11.280741508602944</v>
          </cell>
          <cell r="J75">
            <v>9.514654011150677</v>
          </cell>
          <cell r="K75">
            <v>8.0118195518891433</v>
          </cell>
          <cell r="L75">
            <v>6.8081217926095876</v>
          </cell>
          <cell r="O75">
            <v>8.8990079388949059</v>
          </cell>
          <cell r="P75">
            <v>7.3763808625099632</v>
          </cell>
          <cell r="Q75">
            <v>6.0221185721918458</v>
          </cell>
          <cell r="R75">
            <v>4.9174728843215538</v>
          </cell>
        </row>
        <row r="76">
          <cell r="C76" t="str">
            <v>Vodacom</v>
          </cell>
          <cell r="I76">
            <v>17.745060545508831</v>
          </cell>
          <cell r="J76">
            <v>14.522023927853336</v>
          </cell>
          <cell r="K76">
            <v>11.071572989464878</v>
          </cell>
          <cell r="L76">
            <v>8.5226295222541246</v>
          </cell>
          <cell r="O76">
            <v>13.353988204515177</v>
          </cell>
          <cell r="P76">
            <v>11.05577332549885</v>
          </cell>
          <cell r="Q76">
            <v>9.31990021961394</v>
          </cell>
          <cell r="R76">
            <v>7.9312508509224608</v>
          </cell>
        </row>
        <row r="77">
          <cell r="C77" t="str">
            <v>Agg. EMEA Cellular</v>
          </cell>
          <cell r="I77">
            <v>16.897448156843311</v>
          </cell>
          <cell r="J77">
            <v>13.353077482717575</v>
          </cell>
          <cell r="K77">
            <v>10.337113500634517</v>
          </cell>
          <cell r="L77">
            <v>8.2790643318610257</v>
          </cell>
          <cell r="O77">
            <v>12.03995178620062</v>
          </cell>
          <cell r="P77">
            <v>10.261952768759068</v>
          </cell>
          <cell r="Q77">
            <v>8.3055432447310444</v>
          </cell>
          <cell r="R77">
            <v>6.9776553902713783</v>
          </cell>
        </row>
        <row r="78">
          <cell r="C78"/>
          <cell r="I78"/>
          <cell r="J78"/>
          <cell r="K78"/>
          <cell r="L78"/>
          <cell r="O78"/>
          <cell r="P78"/>
          <cell r="Q78"/>
          <cell r="R78"/>
        </row>
        <row r="79">
          <cell r="C79" t="str">
            <v>Entel</v>
          </cell>
          <cell r="I79">
            <v>42.034352222480557</v>
          </cell>
          <cell r="J79">
            <v>26.21748998761856</v>
          </cell>
          <cell r="K79">
            <v>19.685168033016318</v>
          </cell>
          <cell r="L79">
            <v>15.119276617987573</v>
          </cell>
          <cell r="O79">
            <v>13.539732929875674</v>
          </cell>
          <cell r="P79">
            <v>9.5212441781450643</v>
          </cell>
          <cell r="Q79">
            <v>7.621717713067885</v>
          </cell>
          <cell r="R79">
            <v>7.1958282316610847</v>
          </cell>
        </row>
        <row r="80">
          <cell r="C80" t="str">
            <v>Millicom</v>
          </cell>
          <cell r="I80">
            <v>12.328448056179679</v>
          </cell>
          <cell r="J80">
            <v>11.760045798826521</v>
          </cell>
          <cell r="K80">
            <v>10.949562933292153</v>
          </cell>
          <cell r="L80">
            <v>10.199560908531483</v>
          </cell>
          <cell r="O80">
            <v>18.524721378461891</v>
          </cell>
          <cell r="P80">
            <v>11.18954388025117</v>
          </cell>
          <cell r="Q80">
            <v>11.129987261256904</v>
          </cell>
          <cell r="R80">
            <v>10.522491895386485</v>
          </cell>
        </row>
        <row r="81">
          <cell r="C81" t="str">
            <v>TIM Participacoes</v>
          </cell>
          <cell r="I81">
            <v>6.0885594159130259</v>
          </cell>
          <cell r="J81">
            <v>4.862765287825904</v>
          </cell>
          <cell r="K81">
            <v>3.8231282288632857</v>
          </cell>
          <cell r="L81">
            <v>2.6525027883426455</v>
          </cell>
          <cell r="O81">
            <v>7.9419801075897674</v>
          </cell>
          <cell r="P81">
            <v>6.823530115274635</v>
          </cell>
          <cell r="Q81">
            <v>5.6592042868342585</v>
          </cell>
          <cell r="R81">
            <v>4.8023281653951555</v>
          </cell>
        </row>
        <row r="82">
          <cell r="C82" t="str">
            <v>Megacable</v>
          </cell>
          <cell r="I82">
            <v>16.679817139695718</v>
          </cell>
          <cell r="J82">
            <v>12.462521676841538</v>
          </cell>
          <cell r="K82">
            <v>9.5007245527236694</v>
          </cell>
          <cell r="L82">
            <v>7.376120534750493</v>
          </cell>
          <cell r="O82">
            <v>6.7752041863646966</v>
          </cell>
          <cell r="P82">
            <v>5.8183973627277146</v>
          </cell>
          <cell r="Q82">
            <v>5.4265773751221449</v>
          </cell>
          <cell r="R82">
            <v>5.0874883759653891</v>
          </cell>
        </row>
        <row r="83">
          <cell r="C83" t="str">
            <v>LiLAC</v>
          </cell>
          <cell r="I83">
            <v>13.163640545398472</v>
          </cell>
          <cell r="J83">
            <v>11.861237435759202</v>
          </cell>
          <cell r="K83">
            <v>10.956177748870207</v>
          </cell>
          <cell r="L83">
            <v>10.048309596622683</v>
          </cell>
          <cell r="O83">
            <v>-160.55898823250428</v>
          </cell>
          <cell r="P83">
            <v>10.148513324518547</v>
          </cell>
          <cell r="Q83">
            <v>6.2356304216734495</v>
          </cell>
          <cell r="R83">
            <v>4.820603800696083</v>
          </cell>
        </row>
        <row r="84">
          <cell r="C84" t="str">
            <v>Agg. LatAm Other</v>
          </cell>
          <cell r="I84">
            <v>11.087813434277976</v>
          </cell>
          <cell r="J84">
            <v>9.7424232700746192</v>
          </cell>
          <cell r="K84">
            <v>8.5863348312564991</v>
          </cell>
          <cell r="L84">
            <v>7.3604510844204443</v>
          </cell>
          <cell r="O84">
            <v>11.891291449856402</v>
          </cell>
          <cell r="P84">
            <v>8.3756470683983615</v>
          </cell>
          <cell r="Q84">
            <v>7.2712226999577192</v>
          </cell>
          <cell r="R84">
            <v>6.4425365226687541</v>
          </cell>
        </row>
        <row r="85">
          <cell r="C85"/>
          <cell r="I85"/>
          <cell r="J85"/>
          <cell r="K85"/>
          <cell r="L85"/>
          <cell r="O85"/>
          <cell r="P85"/>
          <cell r="Q85"/>
          <cell r="R85"/>
        </row>
        <row r="86">
          <cell r="C86" t="str">
            <v>AIS</v>
          </cell>
          <cell r="I86">
            <v>14.709506293064415</v>
          </cell>
          <cell r="J86">
            <v>13.484413295225432</v>
          </cell>
          <cell r="K86">
            <v>12.064938845646683</v>
          </cell>
          <cell r="L86">
            <v>10.699485365382415</v>
          </cell>
          <cell r="O86">
            <v>21.775044812402413</v>
          </cell>
          <cell r="P86">
            <v>20.008783739889839</v>
          </cell>
          <cell r="Q86">
            <v>18.295860108923389</v>
          </cell>
          <cell r="R86">
            <v>16.426663464998555</v>
          </cell>
        </row>
        <row r="87">
          <cell r="C87" t="str">
            <v>Axiata</v>
          </cell>
          <cell r="I87">
            <v>21.438876688459214</v>
          </cell>
          <cell r="J87">
            <v>22.086123237777777</v>
          </cell>
          <cell r="K87">
            <v>18.215238129480475</v>
          </cell>
          <cell r="L87">
            <v>16.406101231647579</v>
          </cell>
          <cell r="O87">
            <v>30.883321646589447</v>
          </cell>
          <cell r="P87">
            <v>25.719550824651662</v>
          </cell>
          <cell r="Q87">
            <v>17.592625307478006</v>
          </cell>
          <cell r="R87">
            <v>12.107134671745712</v>
          </cell>
        </row>
        <row r="88">
          <cell r="C88" t="str">
            <v>Bharti Airtel</v>
          </cell>
          <cell r="I88">
            <v>24.011503322746389</v>
          </cell>
          <cell r="J88">
            <v>19.362540461992136</v>
          </cell>
          <cell r="K88">
            <v>15.985810050065712</v>
          </cell>
          <cell r="L88">
            <v>13.471966379264815</v>
          </cell>
          <cell r="O88">
            <v>38.320573067135157</v>
          </cell>
          <cell r="P88">
            <v>26.637962888226223</v>
          </cell>
          <cell r="Q88">
            <v>20.690543480559509</v>
          </cell>
          <cell r="R88">
            <v>17.186148813199811</v>
          </cell>
        </row>
        <row r="89">
          <cell r="C89" t="str">
            <v>China Mobile</v>
          </cell>
          <cell r="I89">
            <v>8.8104772475615203</v>
          </cell>
          <cell r="J89">
            <v>7.3914651317345248</v>
          </cell>
          <cell r="K89">
            <v>6.4349809990388849</v>
          </cell>
          <cell r="L89">
            <v>5.0586700488774037</v>
          </cell>
          <cell r="O89">
            <v>11.422727709947594</v>
          </cell>
          <cell r="P89">
            <v>10.867033722374835</v>
          </cell>
          <cell r="Q89">
            <v>10.272133441074461</v>
          </cell>
          <cell r="R89">
            <v>9.6489919938521798</v>
          </cell>
        </row>
        <row r="90">
          <cell r="C90" t="str">
            <v>CelcomDigi</v>
          </cell>
          <cell r="I90">
            <v>18.16424215858957</v>
          </cell>
          <cell r="J90">
            <v>16.225429126885768</v>
          </cell>
          <cell r="K90">
            <v>13.899181906302841</v>
          </cell>
          <cell r="L90">
            <v>12.495507434771048</v>
          </cell>
          <cell r="O90">
            <v>23.986985611059552</v>
          </cell>
          <cell r="P90">
            <v>23.181664408681854</v>
          </cell>
          <cell r="Q90">
            <v>21.484333754366386</v>
          </cell>
          <cell r="R90">
            <v>19.334898185720157</v>
          </cell>
        </row>
        <row r="91">
          <cell r="C91" t="str">
            <v>Vodafone IDEA</v>
          </cell>
          <cell r="I91">
            <v>202.54770977439065</v>
          </cell>
          <cell r="J91">
            <v>85.693237228983904</v>
          </cell>
          <cell r="K91">
            <v>65.510741793118967</v>
          </cell>
          <cell r="L91">
            <v>44.92450177114015</v>
          </cell>
          <cell r="O91">
            <v>-2.8807800363768887</v>
          </cell>
          <cell r="P91">
            <v>-2.5965976889578082</v>
          </cell>
          <cell r="Q91">
            <v>-2.3168234994818744</v>
          </cell>
          <cell r="R91">
            <v>-2.0812186293798671</v>
          </cell>
        </row>
        <row r="92">
          <cell r="C92" t="str">
            <v>Indosat</v>
          </cell>
          <cell r="I92">
            <v>11.020010055304173</v>
          </cell>
          <cell r="J92">
            <v>9.455565640729434</v>
          </cell>
          <cell r="K92">
            <v>8.187153765533763</v>
          </cell>
          <cell r="L92">
            <v>7.152423822714681</v>
          </cell>
          <cell r="O92">
            <v>12.012578616352201</v>
          </cell>
          <cell r="P92">
            <v>10.419365837026936</v>
          </cell>
          <cell r="Q92">
            <v>9.0253987005315999</v>
          </cell>
          <cell r="R92">
            <v>7.7474965141336041</v>
          </cell>
        </row>
        <row r="93">
          <cell r="C93" t="str">
            <v>LG Uplus</v>
          </cell>
          <cell r="I93">
            <v>11.056764889454616</v>
          </cell>
          <cell r="J93">
            <v>10.279342536239282</v>
          </cell>
          <cell r="K93">
            <v>9.3952003973183835</v>
          </cell>
          <cell r="L93">
            <v>8.530333005279136</v>
          </cell>
          <cell r="O93">
            <v>9.7287534258822141</v>
          </cell>
          <cell r="P93">
            <v>8.1997047292862604</v>
          </cell>
          <cell r="Q93">
            <v>7.0290212203407805</v>
          </cell>
          <cell r="R93">
            <v>6.180447195848517</v>
          </cell>
        </row>
        <row r="94">
          <cell r="C94" t="str">
            <v>Maxis</v>
          </cell>
          <cell r="I94">
            <v>16.652314725041293</v>
          </cell>
          <cell r="J94">
            <v>15.162788977990562</v>
          </cell>
          <cell r="K94">
            <v>13.827433242513946</v>
          </cell>
          <cell r="L94">
            <v>12.543062814487412</v>
          </cell>
          <cell r="O94">
            <v>19.112390671355705</v>
          </cell>
          <cell r="P94">
            <v>17.042210409746858</v>
          </cell>
          <cell r="Q94">
            <v>15.691581280964632</v>
          </cell>
          <cell r="R94">
            <v>14.65007094409504</v>
          </cell>
        </row>
        <row r="95">
          <cell r="C95" t="str">
            <v>SK Telecom</v>
          </cell>
          <cell r="I95">
            <v>10.848379486769936</v>
          </cell>
          <cell r="J95">
            <v>9.4659526830176812</v>
          </cell>
          <cell r="K95">
            <v>8.5070981518956472</v>
          </cell>
          <cell r="L95">
            <v>7.5594232171863078</v>
          </cell>
          <cell r="O95">
            <v>15.578449421879949</v>
          </cell>
          <cell r="P95">
            <v>12.680600343490918</v>
          </cell>
          <cell r="Q95">
            <v>11.31678723752943</v>
          </cell>
          <cell r="R95">
            <v>10.169256092183501</v>
          </cell>
        </row>
        <row r="96">
          <cell r="C96" t="str">
            <v>True Corp</v>
          </cell>
          <cell r="I96">
            <v>13.030549503557269</v>
          </cell>
          <cell r="J96">
            <v>10.671874189514478</v>
          </cell>
          <cell r="K96">
            <v>9.5330091212752688</v>
          </cell>
          <cell r="L96">
            <v>8.4767647687002103</v>
          </cell>
          <cell r="O96">
            <v>30.779328079965289</v>
          </cell>
          <cell r="P96">
            <v>18.708488226658492</v>
          </cell>
          <cell r="Q96">
            <v>12.62206734709161</v>
          </cell>
          <cell r="R96">
            <v>9.7723779214633311</v>
          </cell>
        </row>
        <row r="97">
          <cell r="C97" t="str">
            <v>XL Axiata</v>
          </cell>
          <cell r="I97">
            <v>-80.546479762369628</v>
          </cell>
          <cell r="J97">
            <v>12.41177669022569</v>
          </cell>
          <cell r="K97">
            <v>10.022760763930913</v>
          </cell>
          <cell r="L97">
            <v>8.4048040869283742</v>
          </cell>
          <cell r="O97">
            <v>36.439516691471376</v>
          </cell>
          <cell r="P97">
            <v>25.514843132607915</v>
          </cell>
          <cell r="Q97">
            <v>15.004739000940258</v>
          </cell>
          <cell r="R97">
            <v>10.160988226922695</v>
          </cell>
        </row>
        <row r="98">
          <cell r="C98" t="str">
            <v>Agg. Emerging Asia Cellular</v>
          </cell>
          <cell r="I98">
            <v>13.933172872109306</v>
          </cell>
          <cell r="J98">
            <v>11.862202293243593</v>
          </cell>
          <cell r="K98">
            <v>10.427589777097115</v>
          </cell>
          <cell r="L98">
            <v>8.8787808932487398</v>
          </cell>
          <cell r="O98">
            <v>18.207934991744576</v>
          </cell>
          <cell r="P98">
            <v>16.234114980575573</v>
          </cell>
          <cell r="Q98">
            <v>14.553148362258176</v>
          </cell>
          <cell r="R98">
            <v>13.125742147025356</v>
          </cell>
        </row>
        <row r="99">
          <cell r="C99"/>
          <cell r="I99"/>
          <cell r="J99"/>
          <cell r="K99"/>
          <cell r="L99"/>
          <cell r="O99"/>
          <cell r="P99"/>
          <cell r="Q99"/>
          <cell r="R99"/>
        </row>
        <row r="100">
          <cell r="C100" t="str">
            <v>Agg. Emerging  Cellular</v>
          </cell>
          <cell r="I100">
            <v>14.01174196011045</v>
          </cell>
          <cell r="J100">
            <v>11.86464161457698</v>
          </cell>
          <cell r="K100">
            <v>10.277806970306512</v>
          </cell>
          <cell r="L100">
            <v>8.6872154137928757</v>
          </cell>
          <cell r="O100">
            <v>16.964624406806564</v>
          </cell>
          <cell r="P100">
            <v>14.83225766972876</v>
          </cell>
          <cell r="Q100">
            <v>13.065840165595645</v>
          </cell>
          <cell r="R100">
            <v>11.639502295962391</v>
          </cell>
        </row>
        <row r="101">
          <cell r="C101"/>
          <cell r="I101"/>
          <cell r="J101"/>
          <cell r="K101"/>
          <cell r="L101"/>
          <cell r="O101"/>
          <cell r="P101"/>
          <cell r="Q101"/>
          <cell r="R101"/>
        </row>
        <row r="102">
          <cell r="C102" t="str">
            <v>Agg. EMEA sector</v>
          </cell>
          <cell r="I102">
            <v>16.897448156843311</v>
          </cell>
          <cell r="J102">
            <v>13.353077482717575</v>
          </cell>
          <cell r="K102">
            <v>10.337113500634517</v>
          </cell>
          <cell r="L102">
            <v>8.2790643318610257</v>
          </cell>
          <cell r="O102">
            <v>12.03995178620062</v>
          </cell>
          <cell r="P102">
            <v>10.261952768759068</v>
          </cell>
          <cell r="Q102">
            <v>8.3055432447310444</v>
          </cell>
          <cell r="R102">
            <v>6.9776553902713783</v>
          </cell>
        </row>
        <row r="103">
          <cell r="C103" t="str">
            <v>Agg. LatAm sector</v>
          </cell>
          <cell r="I103">
            <v>11.503156449229108</v>
          </cell>
          <cell r="J103">
            <v>9.9992712401072783</v>
          </cell>
          <cell r="K103">
            <v>8.956679229716288</v>
          </cell>
          <cell r="L103">
            <v>7.7255232518638737</v>
          </cell>
          <cell r="O103">
            <v>14.263997338243049</v>
          </cell>
          <cell r="P103">
            <v>11.017247354721757</v>
          </cell>
          <cell r="Q103">
            <v>9.4758956771130318</v>
          </cell>
          <cell r="R103">
            <v>8.4311433088891761</v>
          </cell>
        </row>
        <row r="104">
          <cell r="C104" t="str">
            <v>Agg. Emerging Asia sector</v>
          </cell>
          <cell r="I104">
            <v>11.897688088754245</v>
          </cell>
          <cell r="J104">
            <v>10.111501379569013</v>
          </cell>
          <cell r="K104">
            <v>8.9623370335345172</v>
          </cell>
          <cell r="L104">
            <v>7.6183910536721964</v>
          </cell>
          <cell r="O104">
            <v>16.573991037506616</v>
          </cell>
          <cell r="P104">
            <v>14.91654817816417</v>
          </cell>
          <cell r="Q104">
            <v>13.429622052937393</v>
          </cell>
          <cell r="R104">
            <v>12.158443946523253</v>
          </cell>
        </row>
        <row r="105">
          <cell r="C105"/>
          <cell r="I105"/>
          <cell r="J105"/>
          <cell r="K105"/>
          <cell r="L105"/>
          <cell r="O105"/>
          <cell r="P105"/>
          <cell r="Q105"/>
          <cell r="R105"/>
        </row>
        <row r="106">
          <cell r="C106" t="str">
            <v>Agg. Global EM sector</v>
          </cell>
          <cell r="I106">
            <v>12.143540227706556</v>
          </cell>
          <cell r="J106">
            <v>10.319305433594087</v>
          </cell>
          <cell r="K106">
            <v>9.0704212573033729</v>
          </cell>
          <cell r="L106">
            <v>7.694521685407282</v>
          </cell>
          <cell r="O106">
            <v>15.77287329125709</v>
          </cell>
          <cell r="P106">
            <v>13.783990394673992</v>
          </cell>
          <cell r="Q106">
            <v>12.186010359942204</v>
          </cell>
          <cell r="R106">
            <v>10.91667419327551</v>
          </cell>
        </row>
        <row r="107">
          <cell r="C107"/>
          <cell r="I107"/>
          <cell r="J107"/>
          <cell r="K107"/>
          <cell r="L107"/>
        </row>
        <row r="108">
          <cell r="C108"/>
          <cell r="I108"/>
          <cell r="J108"/>
          <cell r="K108"/>
          <cell r="L108"/>
        </row>
        <row r="109">
          <cell r="C109"/>
          <cell r="I109" t="str">
            <v>Dividend yield</v>
          </cell>
          <cell r="J109"/>
          <cell r="K109"/>
          <cell r="L109"/>
        </row>
        <row r="110">
          <cell r="C110" t="str">
            <v>America Movil</v>
          </cell>
          <cell r="I110">
            <v>2.517981474677641E-2</v>
          </cell>
          <cell r="J110">
            <v>3.1171552639953984E-2</v>
          </cell>
          <cell r="K110">
            <v>3.4503616141631541E-2</v>
          </cell>
          <cell r="L110">
            <v>3.7693026037076478E-2</v>
          </cell>
        </row>
        <row r="111">
          <cell r="C111" t="str">
            <v>Vivo</v>
          </cell>
          <cell r="I111">
            <v>3.7634380602262062E-2</v>
          </cell>
          <cell r="J111">
            <v>6.5508116548728221E-2</v>
          </cell>
          <cell r="K111">
            <v>7.8971803245819899E-2</v>
          </cell>
          <cell r="L111">
            <v>9.2460764585116734E-2</v>
          </cell>
        </row>
        <row r="112">
          <cell r="C112" t="str">
            <v>Televisa</v>
          </cell>
          <cell r="I112">
            <v>3.6482350944887575E-2</v>
          </cell>
          <cell r="J112">
            <v>3.6482350944887575E-2</v>
          </cell>
          <cell r="K112">
            <v>3.6482350944887575E-2</v>
          </cell>
          <cell r="L112">
            <v>3.6482350944887575E-2</v>
          </cell>
        </row>
        <row r="113">
          <cell r="C113" t="str">
            <v>Agg. LatAm Incumbent</v>
          </cell>
          <cell r="I113">
            <v>2.8368811452475683E-2</v>
          </cell>
          <cell r="J113">
            <v>3.9598667022290528E-2</v>
          </cell>
          <cell r="K113">
            <v>4.5388847672037505E-2</v>
          </cell>
          <cell r="L113">
            <v>5.1089444266503643E-2</v>
          </cell>
        </row>
        <row r="114">
          <cell r="C114"/>
          <cell r="I114"/>
          <cell r="J114"/>
          <cell r="K114"/>
          <cell r="L114"/>
        </row>
        <row r="115">
          <cell r="C115" t="str">
            <v>China Telecom</v>
          </cell>
          <cell r="I115">
            <v>5.5574773926065794E-2</v>
          </cell>
          <cell r="J115">
            <v>6.2737260751970877E-2</v>
          </cell>
          <cell r="K115">
            <v>6.7442098236068282E-2</v>
          </cell>
          <cell r="L115">
            <v>7.1454917181591013E-2</v>
          </cell>
        </row>
        <row r="116">
          <cell r="C116" t="str">
            <v>China Unicom</v>
          </cell>
          <cell r="I116">
            <v>5.3644812777752009E-2</v>
          </cell>
          <cell r="J116">
            <v>6.4658875464373308E-2</v>
          </cell>
          <cell r="K116">
            <v>7.3618365697518506E-2</v>
          </cell>
          <cell r="L116">
            <v>8.987913350336954E-2</v>
          </cell>
        </row>
        <row r="117">
          <cell r="C117" t="str">
            <v>KT Corp</v>
          </cell>
          <cell r="I117">
            <v>4.5317220543806644E-2</v>
          </cell>
          <cell r="J117">
            <v>5.0352467270896283E-2</v>
          </cell>
          <cell r="K117">
            <v>6.0422960725075518E-2</v>
          </cell>
          <cell r="L117">
            <v>6.5458207452165143E-2</v>
          </cell>
        </row>
        <row r="118">
          <cell r="C118" t="str">
            <v>Telkom Indonesia</v>
          </cell>
          <cell r="I118">
            <v>6.0510437276553801E-2</v>
          </cell>
          <cell r="J118">
            <v>6.2127989415073824E-2</v>
          </cell>
          <cell r="K118">
            <v>6.4839615601667594E-2</v>
          </cell>
          <cell r="L118">
            <v>6.8941838460107555E-2</v>
          </cell>
        </row>
        <row r="119">
          <cell r="C119" t="str">
            <v>Agg. Emerging Asia Incumbent</v>
          </cell>
          <cell r="I119">
            <v>5.5110605948604251E-2</v>
          </cell>
          <cell r="J119">
            <v>6.241730358420837E-2</v>
          </cell>
          <cell r="K119">
            <v>6.8370870387518712E-2</v>
          </cell>
          <cell r="L119">
            <v>7.5930999892488096E-2</v>
          </cell>
        </row>
        <row r="120">
          <cell r="C120"/>
          <cell r="I120"/>
          <cell r="J120"/>
          <cell r="K120"/>
          <cell r="L120"/>
        </row>
        <row r="121">
          <cell r="C121" t="str">
            <v>Agg. Emerging Incumbent</v>
          </cell>
          <cell r="I121">
            <v>4.4600683797860328E-2</v>
          </cell>
          <cell r="J121">
            <v>5.356105244857802E-2</v>
          </cell>
          <cell r="K121">
            <v>5.9559701720580477E-2</v>
          </cell>
          <cell r="L121">
            <v>6.6523282684932961E-2</v>
          </cell>
        </row>
        <row r="122">
          <cell r="C122"/>
          <cell r="I122"/>
          <cell r="J122"/>
          <cell r="K122"/>
          <cell r="L122"/>
        </row>
        <row r="123">
          <cell r="C123" t="str">
            <v>Airtel Africa</v>
          </cell>
          <cell r="I123">
            <v>2.285686651908234E-2</v>
          </cell>
          <cell r="J123">
            <v>2.6487477248004491E-2</v>
          </cell>
          <cell r="K123">
            <v>3.134183241742064E-2</v>
          </cell>
          <cell r="L123">
            <v>3.7894626353659928E-2</v>
          </cell>
        </row>
        <row r="124">
          <cell r="C124" t="str">
            <v>MTN</v>
          </cell>
          <cell r="I124">
            <v>2.31069384483957E-2</v>
          </cell>
          <cell r="J124">
            <v>2.8902751220013134E-2</v>
          </cell>
          <cell r="K124">
            <v>3.847784774425022E-2</v>
          </cell>
          <cell r="L124">
            <v>4.6607545688789234E-2</v>
          </cell>
        </row>
        <row r="125">
          <cell r="C125" t="str">
            <v>Safaricom</v>
          </cell>
          <cell r="I125">
            <v>5.3034719965983322E-2</v>
          </cell>
          <cell r="J125">
            <v>6.1527590225206805E-2</v>
          </cell>
          <cell r="K125">
            <v>6.8682522709229671E-2</v>
          </cell>
          <cell r="L125">
            <v>7.6345507851175859E-2</v>
          </cell>
        </row>
        <row r="126">
          <cell r="C126" t="str">
            <v>VEON</v>
          </cell>
          <cell r="I126">
            <v>0</v>
          </cell>
          <cell r="J126">
            <v>0</v>
          </cell>
          <cell r="K126">
            <v>0</v>
          </cell>
          <cell r="L126">
            <v>0</v>
          </cell>
        </row>
        <row r="127">
          <cell r="C127" t="str">
            <v>Vodacom</v>
          </cell>
          <cell r="I127">
            <v>5.3991137087985822E-2</v>
          </cell>
          <cell r="J127">
            <v>6.9477258988441024E-2</v>
          </cell>
          <cell r="K127">
            <v>8.3985972549184038E-2</v>
          </cell>
          <cell r="L127">
            <v>9.9843388520677478E-2</v>
          </cell>
        </row>
        <row r="128">
          <cell r="C128" t="str">
            <v>Agg. EMEA Cellular</v>
          </cell>
          <cell r="I128">
            <v>3.5042888926032842E-2</v>
          </cell>
          <cell r="J128">
            <v>4.331991897693762E-2</v>
          </cell>
          <cell r="K128">
            <v>5.2538141136867618E-2</v>
          </cell>
          <cell r="L128">
            <v>6.2122898930548918E-2</v>
          </cell>
        </row>
        <row r="129">
          <cell r="C129"/>
          <cell r="I129"/>
          <cell r="J129"/>
          <cell r="K129"/>
          <cell r="L129"/>
        </row>
        <row r="130">
          <cell r="C130" t="str">
            <v>Entel</v>
          </cell>
          <cell r="I130">
            <v>3.8291947087491292E-2</v>
          </cell>
          <cell r="J130">
            <v>4.2121141796240429E-2</v>
          </cell>
          <cell r="K130">
            <v>4.6333255975864469E-2</v>
          </cell>
          <cell r="L130">
            <v>5.0966581573450929E-2</v>
          </cell>
        </row>
        <row r="131">
          <cell r="C131" t="str">
            <v>Millicom</v>
          </cell>
          <cell r="I131">
            <v>8.9757127771911291E-2</v>
          </cell>
          <cell r="J131">
            <v>6.863780359028511E-2</v>
          </cell>
          <cell r="K131">
            <v>7.3917634635691648E-2</v>
          </cell>
          <cell r="L131">
            <v>7.91974656810982E-2</v>
          </cell>
        </row>
        <row r="132">
          <cell r="C132" t="str">
            <v>TIM Participacoes</v>
          </cell>
          <cell r="I132">
            <v>0.12674923986608769</v>
          </cell>
          <cell r="J132">
            <v>0.14893035684265302</v>
          </cell>
          <cell r="K132">
            <v>0.17424851750590403</v>
          </cell>
          <cell r="L132">
            <v>0.18296094338119923</v>
          </cell>
        </row>
        <row r="133">
          <cell r="C133" t="str">
            <v>Megacable</v>
          </cell>
          <cell r="I133">
            <v>6.7561603530709807E-2</v>
          </cell>
          <cell r="J133">
            <v>7.4317763883780807E-2</v>
          </cell>
          <cell r="K133">
            <v>8.1749540272158902E-2</v>
          </cell>
          <cell r="L133">
            <v>8.9924494299374783E-2</v>
          </cell>
        </row>
        <row r="134">
          <cell r="C134" t="str">
            <v>LiLAC</v>
          </cell>
          <cell r="I134">
            <v>0</v>
          </cell>
          <cell r="J134">
            <v>0</v>
          </cell>
          <cell r="K134">
            <v>0</v>
          </cell>
          <cell r="L134">
            <v>0</v>
          </cell>
        </row>
        <row r="135">
          <cell r="C135" t="str">
            <v>Agg. LatAm Other</v>
          </cell>
          <cell r="I135">
            <v>8.6579684750809377E-2</v>
          </cell>
          <cell r="J135">
            <v>8.5632712810857506E-2</v>
          </cell>
          <cell r="K135">
            <v>9.6451837588786546E-2</v>
          </cell>
          <cell r="L135">
            <v>0.10240950536714559</v>
          </cell>
        </row>
        <row r="136">
          <cell r="C136"/>
          <cell r="I136"/>
          <cell r="J136"/>
          <cell r="K136"/>
          <cell r="L136"/>
        </row>
        <row r="137">
          <cell r="C137" t="str">
            <v>AIS</v>
          </cell>
          <cell r="I137">
            <v>4.3150603315056726E-2</v>
          </cell>
          <cell r="J137">
            <v>4.6797586979891982E-2</v>
          </cell>
          <cell r="K137">
            <v>5.1007015584589303E-2</v>
          </cell>
          <cell r="L137">
            <v>5.6602162186286602E-2</v>
          </cell>
        </row>
        <row r="138">
          <cell r="C138" t="str">
            <v>Axiata</v>
          </cell>
          <cell r="I138">
            <v>3.8314174777234686E-2</v>
          </cell>
          <cell r="J138">
            <v>4.2145592254958147E-2</v>
          </cell>
          <cell r="K138">
            <v>4.5977009732681616E-2</v>
          </cell>
          <cell r="L138">
            <v>4.9808427210405085E-2</v>
          </cell>
        </row>
        <row r="139">
          <cell r="C139" t="str">
            <v>Bharti Airtel</v>
          </cell>
          <cell r="I139">
            <v>1.043146882862999E-2</v>
          </cell>
          <cell r="J139">
            <v>1.6132609886433922E-2</v>
          </cell>
          <cell r="K139">
            <v>2.2219806061499654E-2</v>
          </cell>
          <cell r="L139">
            <v>2.8496195905676903E-2</v>
          </cell>
        </row>
        <row r="140">
          <cell r="C140" t="str">
            <v>China Mobile</v>
          </cell>
          <cell r="I140">
            <v>6.5144501225628301E-2</v>
          </cell>
          <cell r="J140">
            <v>7.0351761535519655E-2</v>
          </cell>
          <cell r="K140">
            <v>7.4426113077732475E-2</v>
          </cell>
          <cell r="L140">
            <v>7.9232625078564975E-2</v>
          </cell>
        </row>
        <row r="141">
          <cell r="C141" t="str">
            <v>CelcomDigi</v>
          </cell>
          <cell r="I141">
            <v>4.1689273350751302E-2</v>
          </cell>
          <cell r="J141">
            <v>4.3137541048410923E-2</v>
          </cell>
          <cell r="K141">
            <v>4.6545543903439145E-2</v>
          </cell>
          <cell r="L141">
            <v>5.1719951685008238E-2</v>
          </cell>
        </row>
        <row r="142">
          <cell r="C142" t="str">
            <v>Vodafone IDEA</v>
          </cell>
          <cell r="I142">
            <v>0</v>
          </cell>
          <cell r="J142">
            <v>0</v>
          </cell>
          <cell r="K142">
            <v>0</v>
          </cell>
          <cell r="L142">
            <v>0</v>
          </cell>
        </row>
        <row r="143">
          <cell r="C143" t="str">
            <v>Indosat</v>
          </cell>
          <cell r="I143">
            <v>4.130366492146597E-2</v>
          </cell>
          <cell r="J143">
            <v>5.7141361256544503E-2</v>
          </cell>
          <cell r="K143">
            <v>7.6958115183246079E-2</v>
          </cell>
          <cell r="L143">
            <v>8.9654450261780108E-2</v>
          </cell>
        </row>
        <row r="144">
          <cell r="C144" t="str">
            <v>LG Uplus</v>
          </cell>
          <cell r="I144">
            <v>4.2847725774555048E-2</v>
          </cell>
          <cell r="J144">
            <v>4.6143704680290047E-2</v>
          </cell>
          <cell r="K144">
            <v>4.9439683586025046E-2</v>
          </cell>
          <cell r="L144">
            <v>5.6031641397495058E-2</v>
          </cell>
        </row>
        <row r="145">
          <cell r="C145" t="str">
            <v>Maxis</v>
          </cell>
          <cell r="I145">
            <v>4.7089870413168991E-2</v>
          </cell>
          <cell r="J145">
            <v>5.2810050947690916E-2</v>
          </cell>
          <cell r="K145">
            <v>5.735559621972483E-2</v>
          </cell>
          <cell r="L145">
            <v>6.143314960278471E-2</v>
          </cell>
        </row>
        <row r="146">
          <cell r="C146" t="str">
            <v>SK Telecom</v>
          </cell>
          <cell r="I146">
            <v>6.579925650557622E-2</v>
          </cell>
          <cell r="J146">
            <v>6.9516728624535298E-2</v>
          </cell>
          <cell r="K146">
            <v>7.1375464684014872E-2</v>
          </cell>
          <cell r="L146">
            <v>7.3234200743494432E-2</v>
          </cell>
        </row>
        <row r="147">
          <cell r="C147" t="str">
            <v>True Corp</v>
          </cell>
          <cell r="I147">
            <v>1.6244669107167979E-2</v>
          </cell>
          <cell r="J147">
            <v>2.6725836633209599E-2</v>
          </cell>
          <cell r="K147">
            <v>4.7535794533551799E-2</v>
          </cell>
          <cell r="L147">
            <v>6.6514005621128081E-2</v>
          </cell>
        </row>
        <row r="148">
          <cell r="C148" t="str">
            <v>XL Axiata</v>
          </cell>
          <cell r="I148">
            <v>0</v>
          </cell>
          <cell r="J148">
            <v>0</v>
          </cell>
          <cell r="K148">
            <v>2.4858166856493225E-2</v>
          </cell>
          <cell r="L148">
            <v>4.9207812157009791E-2</v>
          </cell>
        </row>
        <row r="149">
          <cell r="C149" t="str">
            <v>Agg. Emerging Asia Cellular</v>
          </cell>
          <cell r="I149">
            <v>4.3049235664947831E-2</v>
          </cell>
          <cell r="J149">
            <v>4.8280339481686287E-2</v>
          </cell>
          <cell r="K149">
            <v>5.3521613432272123E-2</v>
          </cell>
          <cell r="L149">
            <v>5.9230379169829539E-2</v>
          </cell>
        </row>
        <row r="150">
          <cell r="C150"/>
          <cell r="I150"/>
          <cell r="J150"/>
          <cell r="K150"/>
          <cell r="L150"/>
        </row>
        <row r="151">
          <cell r="C151" t="str">
            <v>Agg. Emerging  Cellular</v>
          </cell>
          <cell r="I151">
            <v>4.3765857140170422E-2</v>
          </cell>
          <cell r="J151">
            <v>4.9077486636806257E-2</v>
          </cell>
          <cell r="K151">
            <v>5.4910610666690257E-2</v>
          </cell>
          <cell r="L151">
            <v>6.1008997773610234E-2</v>
          </cell>
        </row>
        <row r="152">
          <cell r="C152"/>
          <cell r="I152"/>
          <cell r="J152"/>
          <cell r="K152"/>
          <cell r="L152"/>
        </row>
        <row r="153">
          <cell r="C153" t="str">
            <v>Agg. EMEA sector</v>
          </cell>
          <cell r="I153">
            <v>3.5042888926032842E-2</v>
          </cell>
          <cell r="J153">
            <v>4.331991897693762E-2</v>
          </cell>
          <cell r="K153">
            <v>5.2538141136867618E-2</v>
          </cell>
          <cell r="L153">
            <v>6.2122898930548918E-2</v>
          </cell>
        </row>
        <row r="154">
          <cell r="C154" t="str">
            <v>Agg. LatAm sector</v>
          </cell>
          <cell r="I154">
            <v>3.9223317641837029E-2</v>
          </cell>
          <cell r="J154">
            <v>4.8211983267117599E-2</v>
          </cell>
          <cell r="K154">
            <v>5.4968215624034006E-2</v>
          </cell>
          <cell r="L154">
            <v>6.0739295890555572E-2</v>
          </cell>
        </row>
        <row r="155">
          <cell r="C155" t="str">
            <v>Agg. Emerging Asia sector</v>
          </cell>
          <cell r="I155">
            <v>4.5702585701077769E-2</v>
          </cell>
          <cell r="J155">
            <v>5.1387689032837941E-2</v>
          </cell>
          <cell r="K155">
            <v>5.6783026807058219E-2</v>
          </cell>
          <cell r="L155">
            <v>6.2895651718681389E-2</v>
          </cell>
        </row>
        <row r="156">
          <cell r="C156"/>
          <cell r="I156"/>
          <cell r="J156"/>
          <cell r="K156"/>
          <cell r="L156"/>
        </row>
        <row r="157">
          <cell r="C157" t="str">
            <v>Agg. Global EM sector</v>
          </cell>
          <cell r="I157">
            <v>4.400386164036791E-2</v>
          </cell>
          <cell r="J157">
            <v>5.0348438769119833E-2</v>
          </cell>
          <cell r="K157">
            <v>5.6221362862127443E-2</v>
          </cell>
          <cell r="L157">
            <v>6.2555399498196107E-2</v>
          </cell>
        </row>
        <row r="158">
          <cell r="C158"/>
          <cell r="I158"/>
          <cell r="J158"/>
          <cell r="K158"/>
          <cell r="L158"/>
        </row>
        <row r="159">
          <cell r="C159"/>
          <cell r="I159"/>
          <cell r="J159"/>
          <cell r="K159"/>
          <cell r="L159"/>
        </row>
        <row r="160">
          <cell r="C160"/>
          <cell r="I160" t="str">
            <v>EV/Invested capital</v>
          </cell>
          <cell r="J160"/>
          <cell r="K160"/>
          <cell r="L160"/>
        </row>
        <row r="161">
          <cell r="C161" t="str">
            <v>America Movil</v>
          </cell>
          <cell r="I161">
            <v>1.9509837837240707</v>
          </cell>
          <cell r="J161">
            <v>1.7812908573971837</v>
          </cell>
          <cell r="K161">
            <v>1.7016471574772738</v>
          </cell>
          <cell r="L161">
            <v>1.6122737371479938</v>
          </cell>
        </row>
        <row r="162">
          <cell r="C162" t="str">
            <v>Vivo</v>
          </cell>
          <cell r="I162">
            <v>1.4651256693220989</v>
          </cell>
          <cell r="J162">
            <v>1.4273179205088387</v>
          </cell>
          <cell r="K162">
            <v>1.4032742027073768</v>
          </cell>
          <cell r="L162">
            <v>1.2696166222932757</v>
          </cell>
        </row>
        <row r="163">
          <cell r="C163" t="str">
            <v>Televisa</v>
          </cell>
          <cell r="I163">
            <v>0.25671150085973427</v>
          </cell>
          <cell r="J163">
            <v>0.24095191556920748</v>
          </cell>
          <cell r="K163">
            <v>0.21460792364780942</v>
          </cell>
          <cell r="L163">
            <v>0.17606518032951815</v>
          </cell>
        </row>
        <row r="164">
          <cell r="C164" t="str">
            <v>Agg. LatAm Incumbent</v>
          </cell>
          <cell r="I164">
            <v>1.6726826851191319</v>
          </cell>
          <cell r="J164">
            <v>1.5530299530238239</v>
          </cell>
          <cell r="K164">
            <v>1.4880805572717597</v>
          </cell>
          <cell r="L164">
            <v>1.3949951908939526</v>
          </cell>
        </row>
        <row r="165">
          <cell r="C165"/>
          <cell r="I165"/>
          <cell r="J165"/>
          <cell r="K165"/>
          <cell r="L165"/>
        </row>
        <row r="166">
          <cell r="C166" t="str">
            <v>China Telecom</v>
          </cell>
          <cell r="I166">
            <v>0.72925893488544358</v>
          </cell>
          <cell r="J166">
            <v>0.6896706760584933</v>
          </cell>
          <cell r="K166">
            <v>0.67662109784358404</v>
          </cell>
          <cell r="L166">
            <v>0.63226368131504074</v>
          </cell>
        </row>
        <row r="167">
          <cell r="C167" t="str">
            <v>China Unicom</v>
          </cell>
          <cell r="I167">
            <v>0.46373705058402953</v>
          </cell>
          <cell r="J167">
            <v>0.42342499841460773</v>
          </cell>
          <cell r="K167">
            <v>0.41997715401373686</v>
          </cell>
          <cell r="L167">
            <v>0.37568679483831158</v>
          </cell>
        </row>
        <row r="168">
          <cell r="C168" t="str">
            <v>KT Corp</v>
          </cell>
          <cell r="I168">
            <v>0.66232261821999538</v>
          </cell>
          <cell r="J168">
            <v>0.58549494198480945</v>
          </cell>
          <cell r="K168">
            <v>0.49872926597405981</v>
          </cell>
          <cell r="L168">
            <v>0.40105161487823549</v>
          </cell>
        </row>
        <row r="169">
          <cell r="C169" t="str">
            <v>Telkom Indonesia</v>
          </cell>
          <cell r="I169">
            <v>2.2218815911961332</v>
          </cell>
          <cell r="J169">
            <v>2.0825593179529922</v>
          </cell>
          <cell r="K169">
            <v>1.9784861226553678</v>
          </cell>
          <cell r="L169">
            <v>1.8692935238900401</v>
          </cell>
        </row>
        <row r="170">
          <cell r="C170" t="str">
            <v>Agg. Emerging Asia Incumbent</v>
          </cell>
          <cell r="I170">
            <v>0.79048182868286887</v>
          </cell>
          <cell r="J170">
            <v>0.7471244070063765</v>
          </cell>
          <cell r="K170">
            <v>0.71615950613579971</v>
          </cell>
          <cell r="L170">
            <v>0.66561562931798335</v>
          </cell>
        </row>
        <row r="171">
          <cell r="C171"/>
          <cell r="I171"/>
          <cell r="J171"/>
          <cell r="K171"/>
          <cell r="L171"/>
        </row>
        <row r="172">
          <cell r="C172" t="str">
            <v>Agg. Emerging Incumbent</v>
          </cell>
          <cell r="I172">
            <v>1.1005471827855204</v>
          </cell>
          <cell r="J172">
            <v>1.036081746581905</v>
          </cell>
          <cell r="K172">
            <v>0.98347411005177476</v>
          </cell>
          <cell r="L172">
            <v>0.91958144619181614</v>
          </cell>
        </row>
        <row r="173">
          <cell r="C173"/>
          <cell r="I173"/>
          <cell r="J173"/>
          <cell r="K173"/>
          <cell r="L173"/>
        </row>
        <row r="174">
          <cell r="C174" t="str">
            <v>Airtel Africa</v>
          </cell>
          <cell r="I174">
            <v>3.4705550470857869</v>
          </cell>
          <cell r="J174">
            <v>3.1363426021342509</v>
          </cell>
          <cell r="K174">
            <v>2.7833604560152847</v>
          </cell>
          <cell r="L174">
            <v>2.3849680607853441</v>
          </cell>
        </row>
        <row r="175">
          <cell r="C175" t="str">
            <v>MTN</v>
          </cell>
          <cell r="I175">
            <v>1.7144929105523423</v>
          </cell>
          <cell r="J175">
            <v>1.667028129037565</v>
          </cell>
          <cell r="K175">
            <v>1.5909166829694368</v>
          </cell>
          <cell r="L175">
            <v>1.4924964500366626</v>
          </cell>
        </row>
        <row r="176">
          <cell r="C176" t="str">
            <v>Safaricom</v>
          </cell>
          <cell r="I176">
            <v>2.0404780876084461</v>
          </cell>
          <cell r="J176">
            <v>1.6177587411044074</v>
          </cell>
          <cell r="K176">
            <v>1.2834976188295382</v>
          </cell>
          <cell r="L176">
            <v>1.0131012360075693</v>
          </cell>
        </row>
        <row r="177">
          <cell r="C177" t="str">
            <v>VEON</v>
          </cell>
          <cell r="I177">
            <v>1.8686896572113145</v>
          </cell>
          <cell r="J177">
            <v>1.716401893314851</v>
          </cell>
          <cell r="K177">
            <v>1.5490955519220806</v>
          </cell>
          <cell r="L177">
            <v>1.3664534907803372</v>
          </cell>
        </row>
        <row r="178">
          <cell r="C178" t="str">
            <v>Vodacom</v>
          </cell>
          <cell r="I178">
            <v>2.2922179366140689</v>
          </cell>
          <cell r="J178">
            <v>2.2081183229391046</v>
          </cell>
          <cell r="K178">
            <v>2.0944315363782708</v>
          </cell>
          <cell r="L178">
            <v>1.9389868371420345</v>
          </cell>
        </row>
        <row r="179">
          <cell r="C179" t="str">
            <v>Agg. EMEA Cellular</v>
          </cell>
          <cell r="I179">
            <v>2.1379797279258725</v>
          </cell>
          <cell r="J179">
            <v>1.9900330078753434</v>
          </cell>
          <cell r="K179">
            <v>1.8173267482763902</v>
          </cell>
          <cell r="L179">
            <v>1.6216360816363917</v>
          </cell>
        </row>
        <row r="180">
          <cell r="C180"/>
          <cell r="I180"/>
          <cell r="J180"/>
          <cell r="K180"/>
          <cell r="L180"/>
        </row>
        <row r="181">
          <cell r="C181" t="str">
            <v>Entel</v>
          </cell>
          <cell r="I181">
            <v>0.83114502996520967</v>
          </cell>
          <cell r="J181">
            <v>0.7985335071732268</v>
          </cell>
          <cell r="K181">
            <v>0.75971394709572238</v>
          </cell>
          <cell r="L181">
            <v>0.71917307048291468</v>
          </cell>
        </row>
        <row r="182">
          <cell r="C182" t="str">
            <v>Millicom</v>
          </cell>
          <cell r="I182">
            <v>1.7652194244326833</v>
          </cell>
          <cell r="J182">
            <v>1.6863234484891816</v>
          </cell>
          <cell r="K182">
            <v>1.6152544259400563</v>
          </cell>
          <cell r="L182">
            <v>1.5436609084334461</v>
          </cell>
        </row>
        <row r="183">
          <cell r="C183" t="str">
            <v>TIM Participacoes</v>
          </cell>
          <cell r="I183">
            <v>1.2039979728685246</v>
          </cell>
          <cell r="J183">
            <v>1.086273542617666</v>
          </cell>
          <cell r="K183">
            <v>0.93412500002461551</v>
          </cell>
          <cell r="L183">
            <v>0.74378558292503483</v>
          </cell>
        </row>
        <row r="184">
          <cell r="C184" t="str">
            <v>Megacable</v>
          </cell>
          <cell r="I184">
            <v>1.3446538616442512</v>
          </cell>
          <cell r="J184">
            <v>1.2544014209946062</v>
          </cell>
          <cell r="K184">
            <v>1.1501805045464881</v>
          </cell>
          <cell r="L184">
            <v>1.0277366128241603</v>
          </cell>
        </row>
        <row r="185">
          <cell r="C185" t="str">
            <v>LiLAC</v>
          </cell>
          <cell r="I185">
            <v>1.4148398120456762</v>
          </cell>
          <cell r="J185">
            <v>1.4239256613606277</v>
          </cell>
          <cell r="K185">
            <v>1.4384506462451239</v>
          </cell>
          <cell r="L185">
            <v>1.4603729266307783</v>
          </cell>
        </row>
        <row r="186">
          <cell r="C186" t="str">
            <v>Agg. LatAm Other</v>
          </cell>
          <cell r="I186">
            <v>1.3964954729047889</v>
          </cell>
          <cell r="J186">
            <v>1.3351086339094094</v>
          </cell>
          <cell r="K186">
            <v>1.26608361819797</v>
          </cell>
          <cell r="L186">
            <v>1.1876839884001871</v>
          </cell>
        </row>
        <row r="187">
          <cell r="C187"/>
          <cell r="I187"/>
          <cell r="J187"/>
          <cell r="K187"/>
          <cell r="L187"/>
        </row>
        <row r="188">
          <cell r="C188" t="str">
            <v>AIS</v>
          </cell>
          <cell r="I188">
            <v>3.7894628882164145</v>
          </cell>
          <cell r="J188">
            <v>3.8560000006721187</v>
          </cell>
          <cell r="K188">
            <v>3.8854228359342056</v>
          </cell>
          <cell r="L188">
            <v>3.8669002069034883</v>
          </cell>
        </row>
        <row r="189">
          <cell r="C189" t="str">
            <v>Axiata</v>
          </cell>
          <cell r="I189">
            <v>0.82759174584003914</v>
          </cell>
          <cell r="J189">
            <v>0.98102874076145707</v>
          </cell>
          <cell r="K189">
            <v>0.94614477238922101</v>
          </cell>
          <cell r="L189">
            <v>0.89831338624731893</v>
          </cell>
        </row>
        <row r="190">
          <cell r="C190" t="str">
            <v>Bharti Airtel</v>
          </cell>
          <cell r="I190">
            <v>4.7975991169652321</v>
          </cell>
          <cell r="J190">
            <v>4.6510053740783572</v>
          </cell>
          <cell r="K190">
            <v>4.4106738135029921</v>
          </cell>
          <cell r="L190">
            <v>4.1024957414517313</v>
          </cell>
        </row>
        <row r="191">
          <cell r="C191" t="str">
            <v>China Mobile</v>
          </cell>
          <cell r="I191">
            <v>1.0850865637598708</v>
          </cell>
          <cell r="J191">
            <v>0.96030794669884834</v>
          </cell>
          <cell r="K191">
            <v>0.83621876012516283</v>
          </cell>
          <cell r="L191">
            <v>0.70098355562830761</v>
          </cell>
        </row>
        <row r="192">
          <cell r="C192" t="str">
            <v>CelcomDigi</v>
          </cell>
          <cell r="I192">
            <v>1.9138360132365397</v>
          </cell>
          <cell r="J192">
            <v>1.8799191440784921</v>
          </cell>
          <cell r="K192">
            <v>1.8463780343662115</v>
          </cell>
          <cell r="L192">
            <v>1.7986167937141553</v>
          </cell>
        </row>
        <row r="193">
          <cell r="C193" t="str">
            <v>Vodafone IDEA</v>
          </cell>
          <cell r="I193">
            <v>2.2026826032460702</v>
          </cell>
          <cell r="J193">
            <v>2.361247998796336</v>
          </cell>
          <cell r="K193">
            <v>2.5674298999945511</v>
          </cell>
          <cell r="L193">
            <v>2.859178975686711</v>
          </cell>
        </row>
        <row r="194">
          <cell r="C194" t="str">
            <v>Indosat</v>
          </cell>
          <cell r="I194">
            <v>1.2097669746442803</v>
          </cell>
          <cell r="J194">
            <v>1.1246859296482412</v>
          </cell>
          <cell r="K194">
            <v>1.0522446937479555</v>
          </cell>
          <cell r="L194">
            <v>0.97137993303487458</v>
          </cell>
        </row>
        <row r="195">
          <cell r="C195" t="str">
            <v>LG Uplus</v>
          </cell>
          <cell r="I195">
            <v>0.95584429774355584</v>
          </cell>
          <cell r="J195">
            <v>0.90847349845787795</v>
          </cell>
          <cell r="K195">
            <v>0.85347231383166389</v>
          </cell>
          <cell r="L195">
            <v>0.79254123917469788</v>
          </cell>
        </row>
        <row r="196">
          <cell r="C196" t="str">
            <v>Maxis</v>
          </cell>
          <cell r="I196">
            <v>2.6666321135099484</v>
          </cell>
          <cell r="J196">
            <v>2.5695348614561215</v>
          </cell>
          <cell r="K196">
            <v>2.449620627842517</v>
          </cell>
          <cell r="L196">
            <v>2.3123400317021194</v>
          </cell>
        </row>
        <row r="197">
          <cell r="C197" t="str">
            <v>SK Telecom</v>
          </cell>
          <cell r="I197">
            <v>2.5022069931111286</v>
          </cell>
          <cell r="J197">
            <v>2.6435978504094444</v>
          </cell>
          <cell r="K197">
            <v>2.8995322839389015</v>
          </cell>
          <cell r="L197">
            <v>3.3304713302127809</v>
          </cell>
        </row>
        <row r="198">
          <cell r="C198" t="str">
            <v>True Corp</v>
          </cell>
          <cell r="I198">
            <v>1.5139953545627238</v>
          </cell>
          <cell r="J198">
            <v>1.5035492258759344</v>
          </cell>
          <cell r="K198">
            <v>1.4658831160546852</v>
          </cell>
          <cell r="L198">
            <v>1.3985228443385014</v>
          </cell>
        </row>
        <row r="199">
          <cell r="C199" t="str">
            <v>XL Axiata</v>
          </cell>
          <cell r="I199">
            <v>1.2138528328296401</v>
          </cell>
          <cell r="J199">
            <v>1.2112567425889322</v>
          </cell>
          <cell r="K199">
            <v>1.1908968022281574</v>
          </cell>
          <cell r="L199">
            <v>1.1442579604497571</v>
          </cell>
        </row>
        <row r="200">
          <cell r="C200" t="str">
            <v>Agg. Emerging Asia Cellular</v>
          </cell>
          <cell r="I200">
            <v>1.7462967954268125</v>
          </cell>
          <cell r="J200">
            <v>1.6638903775004517</v>
          </cell>
          <cell r="K200">
            <v>1.5444709606912679</v>
          </cell>
          <cell r="L200">
            <v>1.4326860666470007</v>
          </cell>
        </row>
        <row r="201">
          <cell r="C201"/>
          <cell r="I201"/>
          <cell r="J201"/>
          <cell r="K201"/>
          <cell r="L201"/>
        </row>
        <row r="202">
          <cell r="C202" t="str">
            <v>Agg. Emerging  Cellular</v>
          </cell>
          <cell r="I202">
            <v>1.7585431124686948</v>
          </cell>
          <cell r="J202">
            <v>1.6721699125876357</v>
          </cell>
          <cell r="K202">
            <v>1.5520399441305905</v>
          </cell>
          <cell r="L202">
            <v>1.4349470437493479</v>
          </cell>
        </row>
        <row r="203">
          <cell r="C203"/>
          <cell r="I203"/>
          <cell r="J203"/>
          <cell r="K203"/>
          <cell r="L203"/>
        </row>
        <row r="204">
          <cell r="C204" t="str">
            <v>Agg. EMEA sector</v>
          </cell>
          <cell r="I204">
            <v>2.1379797279258725</v>
          </cell>
          <cell r="J204">
            <v>1.9900330078753434</v>
          </cell>
          <cell r="K204">
            <v>1.8173267482763902</v>
          </cell>
          <cell r="L204">
            <v>1.6216360816363917</v>
          </cell>
        </row>
        <row r="205">
          <cell r="C205" t="str">
            <v>Agg. LatAm sector</v>
          </cell>
          <cell r="I205">
            <v>1.5967519547299966</v>
          </cell>
          <cell r="J205">
            <v>1.4939239446807835</v>
          </cell>
          <cell r="K205">
            <v>1.4275757151918036</v>
          </cell>
          <cell r="L205">
            <v>1.338371814065888</v>
          </cell>
        </row>
        <row r="206">
          <cell r="C206" t="str">
            <v>Agg. Emerging Asia sector</v>
          </cell>
          <cell r="I206">
            <v>1.4388605584110545</v>
          </cell>
          <cell r="J206">
            <v>1.370820764672471</v>
          </cell>
          <cell r="K206">
            <v>1.2774995258865207</v>
          </cell>
          <cell r="L206">
            <v>1.1887888190422435</v>
          </cell>
        </row>
        <row r="207">
          <cell r="C207"/>
          <cell r="I207"/>
          <cell r="J207"/>
          <cell r="K207"/>
          <cell r="L207"/>
        </row>
        <row r="208">
          <cell r="C208" t="str">
            <v>Agg. Global EM sector</v>
          </cell>
          <cell r="I208">
            <v>1.5123159028712589</v>
          </cell>
          <cell r="J208">
            <v>1.4344333902877486</v>
          </cell>
          <cell r="K208">
            <v>1.3401495986292724</v>
          </cell>
          <cell r="L208">
            <v>1.2454203698258262</v>
          </cell>
        </row>
        <row r="209">
          <cell r="C209"/>
        </row>
        <row r="210">
          <cell r="C210"/>
        </row>
        <row r="211">
          <cell r="C211"/>
          <cell r="I211" t="str">
            <v>EV/NFA</v>
          </cell>
          <cell r="J211"/>
          <cell r="K211"/>
          <cell r="L211"/>
        </row>
        <row r="212">
          <cell r="C212" t="str">
            <v>America Movil</v>
          </cell>
          <cell r="I212">
            <v>3.7755058292708803</v>
          </cell>
          <cell r="J212">
            <v>3.7176969272832818</v>
          </cell>
          <cell r="K212">
            <v>3.8679301664213903</v>
          </cell>
          <cell r="L212">
            <v>4.0833379396512646</v>
          </cell>
        </row>
        <row r="213">
          <cell r="C213" t="str">
            <v>Vivo</v>
          </cell>
          <cell r="I213">
            <v>2.2478759267359747</v>
          </cell>
          <cell r="J213">
            <v>1.9866611930197111</v>
          </cell>
          <cell r="K213">
            <v>1.8317570886236432</v>
          </cell>
          <cell r="L213">
            <v>1.553282619149063</v>
          </cell>
        </row>
        <row r="214">
          <cell r="C214" t="str">
            <v>Televisa</v>
          </cell>
          <cell r="I214">
            <v>0.70085476889615028</v>
          </cell>
          <cell r="J214">
            <v>0.68357562310055797</v>
          </cell>
          <cell r="K214">
            <v>0.64272105636200805</v>
          </cell>
          <cell r="L214">
            <v>0.56181988322315213</v>
          </cell>
        </row>
        <row r="215">
          <cell r="C215" t="str">
            <v>Agg. LatAm Incumbent</v>
          </cell>
          <cell r="I215">
            <v>3.1817971381989034</v>
          </cell>
          <cell r="J215">
            <v>3.0610017486651078</v>
          </cell>
          <cell r="K215">
            <v>3.0706960420819902</v>
          </cell>
          <cell r="L215">
            <v>3.0495996493715731</v>
          </cell>
        </row>
        <row r="216">
          <cell r="C216"/>
          <cell r="I216"/>
          <cell r="J216"/>
          <cell r="K216"/>
          <cell r="L216"/>
        </row>
        <row r="217">
          <cell r="C217" t="str">
            <v>China Telecom</v>
          </cell>
          <cell r="I217">
            <v>0.73582559174133966</v>
          </cell>
          <cell r="J217">
            <v>0.72229774961857129</v>
          </cell>
          <cell r="K217">
            <v>0.80762343800022163</v>
          </cell>
          <cell r="L217">
            <v>0.79518390496095048</v>
          </cell>
        </row>
        <row r="218">
          <cell r="C218" t="str">
            <v>China Unicom</v>
          </cell>
          <cell r="I218">
            <v>0.51427610978856142</v>
          </cell>
          <cell r="J218">
            <v>0.49325631989091684</v>
          </cell>
          <cell r="K218">
            <v>0.5556112747936266</v>
          </cell>
          <cell r="L218">
            <v>0.53107323234247006</v>
          </cell>
        </row>
        <row r="219">
          <cell r="C219" t="str">
            <v>KT Corp</v>
          </cell>
          <cell r="I219">
            <v>1.1278869989914</v>
          </cell>
          <cell r="J219">
            <v>1.0210283416602191</v>
          </cell>
          <cell r="K219">
            <v>0.89016713160324457</v>
          </cell>
          <cell r="L219">
            <v>0.7336527607412876</v>
          </cell>
        </row>
        <row r="220">
          <cell r="C220" t="str">
            <v>Telkom Indonesia</v>
          </cell>
          <cell r="I220">
            <v>3.823939075620947</v>
          </cell>
          <cell r="J220">
            <v>3.9992247924076532</v>
          </cell>
          <cell r="K220">
            <v>4.1437792995735521</v>
          </cell>
          <cell r="L220">
            <v>4.2980207952422971</v>
          </cell>
        </row>
        <row r="221">
          <cell r="C221" t="str">
            <v>Agg. Emerging Asia Incumbent</v>
          </cell>
          <cell r="I221">
            <v>0.91360389698288036</v>
          </cell>
          <cell r="J221">
            <v>0.90707545261942224</v>
          </cell>
          <cell r="K221">
            <v>0.97374392886960559</v>
          </cell>
          <cell r="L221">
            <v>0.96190976883273516</v>
          </cell>
        </row>
        <row r="222">
          <cell r="C222"/>
          <cell r="I222"/>
          <cell r="J222"/>
          <cell r="K222"/>
          <cell r="L222"/>
        </row>
        <row r="223">
          <cell r="C223" t="str">
            <v>Agg. Emerging Incumbent</v>
          </cell>
          <cell r="I223">
            <v>1.4754611794529107</v>
          </cell>
          <cell r="J223">
            <v>1.4587511796621913</v>
          </cell>
          <cell r="K223">
            <v>1.5163107051647591</v>
          </cell>
          <cell r="L223">
            <v>1.5067487719669355</v>
          </cell>
        </row>
        <row r="224">
          <cell r="C224"/>
          <cell r="I224"/>
          <cell r="J224"/>
          <cell r="K224"/>
          <cell r="L224"/>
        </row>
        <row r="225">
          <cell r="C225" t="str">
            <v>Airtel Africa</v>
          </cell>
          <cell r="I225">
            <v>2.937784029998181</v>
          </cell>
          <cell r="J225">
            <v>2.7777038623885888</v>
          </cell>
          <cell r="K225">
            <v>2.5929345914244095</v>
          </cell>
          <cell r="L225">
            <v>2.3677975870721069</v>
          </cell>
        </row>
        <row r="226">
          <cell r="C226" t="str">
            <v>MTN</v>
          </cell>
          <cell r="I226">
            <v>2.0288816595082557</v>
          </cell>
          <cell r="J226">
            <v>1.8207731666642211</v>
          </cell>
          <cell r="K226">
            <v>1.6061259530355469</v>
          </cell>
          <cell r="L226">
            <v>1.3953337089654565</v>
          </cell>
        </row>
        <row r="227">
          <cell r="C227" t="str">
            <v>Safaricom</v>
          </cell>
          <cell r="I227">
            <v>3.8623329526073018</v>
          </cell>
          <cell r="J227">
            <v>3.4261609044978272</v>
          </cell>
          <cell r="K227">
            <v>3.1091620361017238</v>
          </cell>
          <cell r="L227">
            <v>2.8575829921828744</v>
          </cell>
        </row>
        <row r="228">
          <cell r="C228" t="str">
            <v>VEON</v>
          </cell>
          <cell r="I228">
            <v>2.4485375138206602</v>
          </cell>
          <cell r="J228">
            <v>2.1337281419148528</v>
          </cell>
          <cell r="K228">
            <v>1.842827134576734</v>
          </cell>
          <cell r="L228">
            <v>1.5703492037134021</v>
          </cell>
        </row>
        <row r="229">
          <cell r="C229" t="str">
            <v>Vodacom</v>
          </cell>
          <cell r="I229">
            <v>4.1632061116068577</v>
          </cell>
          <cell r="J229">
            <v>3.757478080188557</v>
          </cell>
          <cell r="K229">
            <v>3.2920627680123067</v>
          </cell>
          <cell r="L229">
            <v>2.7799630375462261</v>
          </cell>
        </row>
        <row r="230">
          <cell r="C230" t="str">
            <v>Agg. EMEA Cellular</v>
          </cell>
          <cell r="I230">
            <v>2.7392097783159826</v>
          </cell>
          <cell r="J230">
            <v>2.4682672811478326</v>
          </cell>
          <cell r="K230">
            <v>2.191003406036689</v>
          </cell>
          <cell r="L230">
            <v>1.9085502772648488</v>
          </cell>
        </row>
        <row r="231">
          <cell r="C231"/>
          <cell r="I231"/>
          <cell r="J231"/>
          <cell r="K231"/>
          <cell r="L231"/>
        </row>
        <row r="232">
          <cell r="C232" t="str">
            <v>Entel</v>
          </cell>
          <cell r="I232">
            <v>1.2836744145696459</v>
          </cell>
          <cell r="J232">
            <v>1.2985012017933506</v>
          </cell>
          <cell r="K232">
            <v>1.3010617876867874</v>
          </cell>
          <cell r="L232">
            <v>1.3093412466208174</v>
          </cell>
        </row>
        <row r="233">
          <cell r="C233" t="str">
            <v>Millicom</v>
          </cell>
          <cell r="I233">
            <v>1.5015832030109468</v>
          </cell>
          <cell r="J233">
            <v>1.4399002660710163</v>
          </cell>
          <cell r="K233">
            <v>1.3821253232551534</v>
          </cell>
          <cell r="L233">
            <v>1.3232105012783426</v>
          </cell>
        </row>
        <row r="234">
          <cell r="C234" t="str">
            <v>TIM Participacoes</v>
          </cell>
          <cell r="I234">
            <v>1.7334653831231348</v>
          </cell>
          <cell r="J234">
            <v>1.4269427150277307</v>
          </cell>
          <cell r="K234">
            <v>1.1208150522592442</v>
          </cell>
          <cell r="L234">
            <v>0.81430392913169369</v>
          </cell>
        </row>
        <row r="235">
          <cell r="C235" t="str">
            <v>Megacable</v>
          </cell>
          <cell r="I235">
            <v>1.3504943735812989</v>
          </cell>
          <cell r="J235">
            <v>1.245379767429732</v>
          </cell>
          <cell r="K235">
            <v>1.1276185563341867</v>
          </cell>
          <cell r="L235">
            <v>0.99392654115431978</v>
          </cell>
        </row>
        <row r="236">
          <cell r="C236" t="str">
            <v>LiLAC</v>
          </cell>
          <cell r="I236">
            <v>2.8962495379866744</v>
          </cell>
          <cell r="J236">
            <v>3.1107017692276093</v>
          </cell>
          <cell r="K236">
            <v>3.2728522362909858</v>
          </cell>
          <cell r="L236">
            <v>3.3227417105506936</v>
          </cell>
        </row>
        <row r="237">
          <cell r="C237" t="str">
            <v>Agg. LatAm Other</v>
          </cell>
          <cell r="I237">
            <v>1.7205706974681561</v>
          </cell>
          <cell r="J237">
            <v>1.6271417246767215</v>
          </cell>
          <cell r="K237">
            <v>1.5188349530304075</v>
          </cell>
          <cell r="L237">
            <v>1.3931774212234804</v>
          </cell>
        </row>
        <row r="238">
          <cell r="C238"/>
          <cell r="I238"/>
          <cell r="J238"/>
          <cell r="K238"/>
          <cell r="L238"/>
        </row>
        <row r="239">
          <cell r="C239" t="str">
            <v>AIS</v>
          </cell>
          <cell r="I239">
            <v>8.6690393824182941</v>
          </cell>
          <cell r="J239">
            <v>7.9440030405271553</v>
          </cell>
          <cell r="K239">
            <v>7.2940639077191198</v>
          </cell>
          <cell r="L239">
            <v>6.6786747425756641</v>
          </cell>
        </row>
        <row r="240">
          <cell r="C240" t="str">
            <v>Axiata</v>
          </cell>
          <cell r="I240">
            <v>2.4485087930025533</v>
          </cell>
          <cell r="J240">
            <v>3.0576305976706708</v>
          </cell>
          <cell r="K240">
            <v>3.1952447623222442</v>
          </cell>
          <cell r="L240">
            <v>3.3690180045593978</v>
          </cell>
        </row>
        <row r="241">
          <cell r="C241" t="str">
            <v>Bharti Airtel</v>
          </cell>
          <cell r="I241">
            <v>7.3181447315977479</v>
          </cell>
          <cell r="J241">
            <v>7.4008482085403724</v>
          </cell>
          <cell r="K241">
            <v>7.4143861421967845</v>
          </cell>
          <cell r="L241">
            <v>7.3745295991996578</v>
          </cell>
        </row>
        <row r="242">
          <cell r="C242" t="str">
            <v>China Mobile</v>
          </cell>
          <cell r="I242">
            <v>2.097406413104864</v>
          </cell>
          <cell r="J242">
            <v>1.9651616859437839</v>
          </cell>
          <cell r="K242">
            <v>1.9210302014196941</v>
          </cell>
          <cell r="L242">
            <v>1.7133343236484724</v>
          </cell>
        </row>
        <row r="243">
          <cell r="C243" t="str">
            <v>CelcomDigi</v>
          </cell>
          <cell r="I243">
            <v>7.9525877202584505</v>
          </cell>
          <cell r="J243">
            <v>7.4881422134905931</v>
          </cell>
          <cell r="K243">
            <v>7.2270697256345162</v>
          </cell>
          <cell r="L243">
            <v>6.8374015762837841</v>
          </cell>
        </row>
        <row r="244">
          <cell r="C244" t="str">
            <v>Vodafone IDEA</v>
          </cell>
          <cell r="I244">
            <v>2.1497739758874181</v>
          </cell>
          <cell r="J244">
            <v>2.3473573827870524</v>
          </cell>
          <cell r="K244">
            <v>2.5801823753186688</v>
          </cell>
          <cell r="L244">
            <v>2.8953514904888693</v>
          </cell>
        </row>
        <row r="245">
          <cell r="C245" t="str">
            <v>Indosat</v>
          </cell>
          <cell r="I245">
            <v>1.4265965478638931</v>
          </cell>
          <cell r="J245">
            <v>1.4647714490234176</v>
          </cell>
          <cell r="K245">
            <v>1.3708025720409622</v>
          </cell>
          <cell r="L245">
            <v>1.2657140406132428</v>
          </cell>
        </row>
        <row r="246">
          <cell r="C246" t="str">
            <v>LG Uplus</v>
          </cell>
          <cell r="I246">
            <v>1.2978549034400184</v>
          </cell>
          <cell r="J246">
            <v>1.2678336837612274</v>
          </cell>
          <cell r="K246">
            <v>1.2231927766282493</v>
          </cell>
          <cell r="L246">
            <v>1.1652723237387415</v>
          </cell>
        </row>
        <row r="247">
          <cell r="C247" t="str">
            <v>Maxis</v>
          </cell>
          <cell r="I247">
            <v>7.9113728922860203</v>
          </cell>
          <cell r="J247">
            <v>7.6875309089778057</v>
          </cell>
          <cell r="K247">
            <v>7.3301903856361141</v>
          </cell>
          <cell r="L247">
            <v>6.8749581996121076</v>
          </cell>
        </row>
        <row r="248">
          <cell r="C248" t="str">
            <v>SK Telecom</v>
          </cell>
          <cell r="I248">
            <v>1.4309369168264452</v>
          </cell>
          <cell r="J248">
            <v>1.4435702922538414</v>
          </cell>
          <cell r="K248">
            <v>1.4658933101540372</v>
          </cell>
          <cell r="L248">
            <v>1.4830728753899185</v>
          </cell>
        </row>
        <row r="249">
          <cell r="C249" t="str">
            <v>True Corp</v>
          </cell>
          <cell r="I249">
            <v>3.9306479600386846</v>
          </cell>
          <cell r="J249">
            <v>4.1217802650922861</v>
          </cell>
          <cell r="K249">
            <v>4.1594920218826896</v>
          </cell>
          <cell r="L249">
            <v>4.0321039616138981</v>
          </cell>
        </row>
        <row r="250">
          <cell r="C250" t="str">
            <v>XL Axiata</v>
          </cell>
          <cell r="I250">
            <v>1.6927058186335149</v>
          </cell>
          <cell r="J250">
            <v>1.7125283065488255</v>
          </cell>
          <cell r="K250">
            <v>1.7094664106489172</v>
          </cell>
          <cell r="L250">
            <v>1.6628740175279002</v>
          </cell>
        </row>
        <row r="251">
          <cell r="C251" t="str">
            <v>Agg. Emerging Asia Cellular</v>
          </cell>
          <cell r="I251">
            <v>3.0174984077699043</v>
          </cell>
          <cell r="J251">
            <v>2.9907291551881179</v>
          </cell>
          <cell r="K251">
            <v>2.9887169099912354</v>
          </cell>
          <cell r="L251">
            <v>2.8984105381567278</v>
          </cell>
        </row>
        <row r="252">
          <cell r="C252"/>
          <cell r="I252"/>
          <cell r="J252"/>
          <cell r="K252"/>
          <cell r="L252"/>
        </row>
        <row r="253">
          <cell r="C253" t="str">
            <v>Agg. Emerging  Cellular</v>
          </cell>
          <cell r="I253">
            <v>2.8457479233212615</v>
          </cell>
          <cell r="J253">
            <v>2.7694384109970933</v>
          </cell>
          <cell r="K253">
            <v>2.7017840183860504</v>
          </cell>
          <cell r="L253">
            <v>2.5583801227433041</v>
          </cell>
        </row>
        <row r="254">
          <cell r="C254"/>
          <cell r="I254"/>
          <cell r="J254"/>
          <cell r="K254"/>
          <cell r="L254"/>
        </row>
        <row r="255">
          <cell r="C255" t="str">
            <v>Agg. EMEA sector</v>
          </cell>
          <cell r="I255">
            <v>2.7392097783159826</v>
          </cell>
          <cell r="J255">
            <v>2.4682672811478326</v>
          </cell>
          <cell r="K255">
            <v>2.191003406036689</v>
          </cell>
          <cell r="L255">
            <v>1.9085502772648488</v>
          </cell>
        </row>
        <row r="256">
          <cell r="C256" t="str">
            <v>Agg. LatAm sector</v>
          </cell>
          <cell r="I256">
            <v>2.6422442227520655</v>
          </cell>
          <cell r="J256">
            <v>2.522249140584349</v>
          </cell>
          <cell r="K256">
            <v>2.4625210076441264</v>
          </cell>
          <cell r="L256">
            <v>2.3673733081079664</v>
          </cell>
        </row>
        <row r="257">
          <cell r="C257" t="str">
            <v>Agg. Emerging Asia sector</v>
          </cell>
          <cell r="I257">
            <v>2.1447385153103435</v>
          </cell>
          <cell r="J257">
            <v>2.1358883693811204</v>
          </cell>
          <cell r="K257">
            <v>2.175367383042015</v>
          </cell>
          <cell r="L257">
            <v>2.1336869417916695</v>
          </cell>
        </row>
        <row r="258">
          <cell r="C258"/>
          <cell r="I258"/>
          <cell r="J258"/>
          <cell r="K258"/>
          <cell r="L258"/>
        </row>
        <row r="259">
          <cell r="C259" t="str">
            <v>Agg. Global EM sector</v>
          </cell>
          <cell r="I259">
            <v>2.2713142626554674</v>
          </cell>
          <cell r="J259">
            <v>2.2288257717390731</v>
          </cell>
          <cell r="K259">
            <v>2.2258565113013815</v>
          </cell>
          <cell r="L259">
            <v>2.1507693374377492</v>
          </cell>
        </row>
        <row r="260">
          <cell r="C260"/>
          <cell r="I260"/>
          <cell r="J260"/>
          <cell r="K260"/>
          <cell r="L260"/>
        </row>
        <row r="261">
          <cell r="C261"/>
          <cell r="I261"/>
          <cell r="J261"/>
          <cell r="K261"/>
          <cell r="L261"/>
        </row>
        <row r="262">
          <cell r="C262"/>
          <cell r="I262" t="str">
            <v>EBITDA growth</v>
          </cell>
          <cell r="J262"/>
          <cell r="K262"/>
          <cell r="L262"/>
        </row>
        <row r="263">
          <cell r="C263" t="str">
            <v>America Movil</v>
          </cell>
          <cell r="I263">
            <v>1.6408825767182389E-2</v>
          </cell>
          <cell r="J263">
            <v>0.10058457973456947</v>
          </cell>
          <cell r="K263">
            <v>2.9411764705882026E-2</v>
          </cell>
          <cell r="L263">
            <v>2.450980392156854E-2</v>
          </cell>
        </row>
        <row r="264">
          <cell r="C264" t="str">
            <v>Vivo</v>
          </cell>
          <cell r="I264">
            <v>8.3719374173844452E-2</v>
          </cell>
          <cell r="J264">
            <v>6.9764855085256094E-2</v>
          </cell>
          <cell r="K264">
            <v>7.1137214690610184E-2</v>
          </cell>
          <cell r="L264">
            <v>6.3388380434265867E-2</v>
          </cell>
        </row>
        <row r="265">
          <cell r="C265" t="str">
            <v>Televisa</v>
          </cell>
          <cell r="I265">
            <v>0.17243839260625649</v>
          </cell>
          <cell r="J265">
            <v>-1.8978517249646498E-2</v>
          </cell>
          <cell r="K265">
            <v>-5.4661746353923402E-3</v>
          </cell>
          <cell r="L265">
            <v>9.1913025651271241E-3</v>
          </cell>
        </row>
        <row r="266">
          <cell r="C266" t="str">
            <v>Agg. LatAm Incumbent</v>
          </cell>
          <cell r="I266">
            <v>3.4106827788405569E-2</v>
          </cell>
          <cell r="J266">
            <v>8.986150892512601E-2</v>
          </cell>
          <cell r="K266">
            <v>3.5731237676408512E-2</v>
          </cell>
          <cell r="L266">
            <v>3.1308425407072127E-2</v>
          </cell>
        </row>
        <row r="267">
          <cell r="C267"/>
          <cell r="I267"/>
          <cell r="J267"/>
          <cell r="K267"/>
          <cell r="L267"/>
        </row>
        <row r="268">
          <cell r="C268" t="str">
            <v>China Telecom</v>
          </cell>
          <cell r="I268">
            <v>5.505204121137508E-2</v>
          </cell>
          <cell r="J268">
            <v>4.6892747095575782E-2</v>
          </cell>
          <cell r="K268">
            <v>3.6847897520105644E-2</v>
          </cell>
          <cell r="L268">
            <v>3.5996009497452075E-2</v>
          </cell>
        </row>
        <row r="269">
          <cell r="C269" t="str">
            <v>China Unicom</v>
          </cell>
          <cell r="I269">
            <v>-9.2743032665884018E-3</v>
          </cell>
          <cell r="J269">
            <v>9.2382344006249895E-3</v>
          </cell>
          <cell r="K269">
            <v>2.1890295246554947E-2</v>
          </cell>
          <cell r="L269">
            <v>2.8295534377855036E-2</v>
          </cell>
        </row>
        <row r="270">
          <cell r="C270" t="str">
            <v>KT Corp</v>
          </cell>
          <cell r="I270">
            <v>0.30743160703809491</v>
          </cell>
          <cell r="J270">
            <v>5.8808723797780793E-3</v>
          </cell>
          <cell r="K270">
            <v>3.2102805397892009E-2</v>
          </cell>
          <cell r="L270">
            <v>3.1525571015651677E-2</v>
          </cell>
        </row>
        <row r="271">
          <cell r="C271" t="str">
            <v>Telkom Indonesia</v>
          </cell>
          <cell r="I271">
            <v>-1.1826187358801366E-2</v>
          </cell>
          <cell r="J271">
            <v>4.6432602505177778E-2</v>
          </cell>
          <cell r="K271">
            <v>4.199149319881057E-2</v>
          </cell>
          <cell r="L271">
            <v>4.310140699549514E-2</v>
          </cell>
        </row>
        <row r="272">
          <cell r="C272" t="str">
            <v>Agg. Emerging Asia Incumbent</v>
          </cell>
          <cell r="I272">
            <v>4.5977331647546249E-2</v>
          </cell>
          <cell r="J272">
            <v>3.0825178838532752E-2</v>
          </cell>
          <cell r="K272">
            <v>3.2266705215677316E-2</v>
          </cell>
          <cell r="L272">
            <v>3.3939889237452503E-2</v>
          </cell>
        </row>
        <row r="273">
          <cell r="C273"/>
          <cell r="I273"/>
          <cell r="J273"/>
          <cell r="K273"/>
          <cell r="L273"/>
        </row>
        <row r="274">
          <cell r="C274" t="str">
            <v>Agg. Emerging Incumbent</v>
          </cell>
          <cell r="I274">
            <v>4.1640527069022104E-2</v>
          </cell>
          <cell r="J274">
            <v>5.2237689318416214E-2</v>
          </cell>
          <cell r="K274">
            <v>3.3568223675686237E-2</v>
          </cell>
          <cell r="L274">
            <v>3.2949260258051893E-2</v>
          </cell>
        </row>
        <row r="275">
          <cell r="C275"/>
          <cell r="I275"/>
          <cell r="J275"/>
          <cell r="K275"/>
          <cell r="L275"/>
        </row>
        <row r="276">
          <cell r="C276" t="str">
            <v>Airtel Africa</v>
          </cell>
          <cell r="I276">
            <v>0.28499126342415737</v>
          </cell>
          <cell r="J276">
            <v>0.25580713545790723</v>
          </cell>
          <cell r="K276">
            <v>0.17362132224856919</v>
          </cell>
          <cell r="L276">
            <v>0.1460668049935665</v>
          </cell>
        </row>
        <row r="277">
          <cell r="C277" t="str">
            <v>MTN</v>
          </cell>
          <cell r="I277">
            <v>0.72083790198800424</v>
          </cell>
          <cell r="J277">
            <v>0.19970953542884051</v>
          </cell>
          <cell r="K277">
            <v>0.19730921398602419</v>
          </cell>
          <cell r="L277">
            <v>0.14331139049262376</v>
          </cell>
        </row>
        <row r="278">
          <cell r="C278" t="str">
            <v>Safaricom</v>
          </cell>
          <cell r="I278">
            <v>0.17993328603416381</v>
          </cell>
          <cell r="J278">
            <v>8.973611254814684E-2</v>
          </cell>
          <cell r="K278">
            <v>4.9558407492141798E-2</v>
          </cell>
          <cell r="L278">
            <v>4.7405506845861201E-2</v>
          </cell>
        </row>
        <row r="279">
          <cell r="C279" t="str">
            <v>VEON</v>
          </cell>
          <cell r="I279">
            <v>9.2476427604753608E-2</v>
          </cell>
          <cell r="J279">
            <v>9.0959418852236684E-2</v>
          </cell>
          <cell r="K279">
            <v>8.3383954978284214E-2</v>
          </cell>
          <cell r="L279">
            <v>7.0720229149326963E-2</v>
          </cell>
        </row>
        <row r="280">
          <cell r="C280" t="str">
            <v>Vodacom</v>
          </cell>
          <cell r="I280">
            <v>-2.5725033369736638E-2</v>
          </cell>
          <cell r="J280">
            <v>0.13275208956187279</v>
          </cell>
          <cell r="K280">
            <v>0.14552073547068378</v>
          </cell>
          <cell r="L280">
            <v>0.11797156401348818</v>
          </cell>
        </row>
        <row r="281">
          <cell r="C281" t="str">
            <v>Agg. EMEA Cellular</v>
          </cell>
          <cell r="I281">
            <v>0.25597740424491056</v>
          </cell>
          <cell r="J281">
            <v>0.16494316079251581</v>
          </cell>
          <cell r="K281">
            <v>0.14907317585559388</v>
          </cell>
          <cell r="L281">
            <v>0.11889399512091536</v>
          </cell>
        </row>
        <row r="282">
          <cell r="C282"/>
          <cell r="I282"/>
          <cell r="J282"/>
          <cell r="K282"/>
          <cell r="L282"/>
        </row>
        <row r="283">
          <cell r="C283" t="str">
            <v>Entel</v>
          </cell>
          <cell r="I283">
            <v>2.9553356428897004E-2</v>
          </cell>
          <cell r="J283">
            <v>4.718403130269011E-2</v>
          </cell>
          <cell r="K283">
            <v>4.0162345248403009E-2</v>
          </cell>
          <cell r="L283">
            <v>3.0998266429919541E-2</v>
          </cell>
        </row>
        <row r="284">
          <cell r="C284" t="str">
            <v>Millicom</v>
          </cell>
          <cell r="I284">
            <v>-3.2633549609235368E-2</v>
          </cell>
          <cell r="J284">
            <v>3.4062354099979597E-3</v>
          </cell>
          <cell r="K284">
            <v>2.70466712205788E-2</v>
          </cell>
          <cell r="L284">
            <v>2.852268685270487E-2</v>
          </cell>
        </row>
        <row r="285">
          <cell r="C285" t="str">
            <v>TIM Participacoes</v>
          </cell>
          <cell r="I285">
            <v>7.1730844112028569E-2</v>
          </cell>
          <cell r="J285">
            <v>7.5370732830730924E-2</v>
          </cell>
          <cell r="K285">
            <v>7.645727719454154E-2</v>
          </cell>
          <cell r="L285">
            <v>7.1166060091647054E-2</v>
          </cell>
        </row>
        <row r="286">
          <cell r="C286" t="str">
            <v>Megacable</v>
          </cell>
          <cell r="I286">
            <v>9.8359067350164198E-2</v>
          </cell>
          <cell r="J286">
            <v>0.10513146979684951</v>
          </cell>
          <cell r="K286">
            <v>9.0663462961429353E-2</v>
          </cell>
          <cell r="L286">
            <v>8.5972957672405981E-2</v>
          </cell>
        </row>
        <row r="287">
          <cell r="C287" t="str">
            <v>LiLAC</v>
          </cell>
          <cell r="I287">
            <v>6.6674310105591328E-2</v>
          </cell>
          <cell r="J287">
            <v>5.2349862462592878E-2</v>
          </cell>
          <cell r="K287">
            <v>3.3949289898781876E-2</v>
          </cell>
          <cell r="L287">
            <v>3.089303974079316E-2</v>
          </cell>
        </row>
        <row r="288">
          <cell r="C288" t="str">
            <v>Agg. LatAm Other</v>
          </cell>
          <cell r="I288">
            <v>3.7087985967044101E-2</v>
          </cell>
          <cell r="J288">
            <v>5.0332221869074045E-2</v>
          </cell>
          <cell r="K288">
            <v>5.2335648446289795E-2</v>
          </cell>
          <cell r="L288">
            <v>4.9683662893879932E-2</v>
          </cell>
        </row>
        <row r="289">
          <cell r="C289"/>
          <cell r="I289"/>
          <cell r="J289"/>
          <cell r="K289"/>
          <cell r="L289"/>
        </row>
        <row r="290">
          <cell r="C290" t="str">
            <v>AIS</v>
          </cell>
          <cell r="I290">
            <v>5.743852872232269E-2</v>
          </cell>
          <cell r="J290">
            <v>3.4637164006340981E-2</v>
          </cell>
          <cell r="K290">
            <v>2.6191802915774387E-2</v>
          </cell>
          <cell r="L290">
            <v>2.5657093618462135E-2</v>
          </cell>
        </row>
        <row r="291">
          <cell r="C291" t="str">
            <v>Axiata</v>
          </cell>
          <cell r="I291">
            <v>-0.5363464821637165</v>
          </cell>
          <cell r="J291">
            <v>5.058139534883721E-2</v>
          </cell>
          <cell r="K291">
            <v>4.095185390149414E-2</v>
          </cell>
          <cell r="L291">
            <v>3.7391458444089976E-2</v>
          </cell>
        </row>
        <row r="292">
          <cell r="C292" t="str">
            <v>Bharti Airtel</v>
          </cell>
          <cell r="I292">
            <v>0.28225362023267531</v>
          </cell>
          <cell r="J292">
            <v>0.17535353321987368</v>
          </cell>
          <cell r="K292">
            <v>0.14091414779281441</v>
          </cell>
          <cell r="L292">
            <v>0.1165383433683338</v>
          </cell>
        </row>
        <row r="293">
          <cell r="C293" t="str">
            <v>China Mobile</v>
          </cell>
          <cell r="I293">
            <v>1.8874586459165954E-2</v>
          </cell>
          <cell r="J293">
            <v>2.068601172183171E-2</v>
          </cell>
          <cell r="K293">
            <v>2.4578808190329093E-2</v>
          </cell>
          <cell r="L293">
            <v>3.1733598921082296E-2</v>
          </cell>
        </row>
        <row r="294">
          <cell r="C294" t="str">
            <v>CelcomDigi</v>
          </cell>
          <cell r="I294">
            <v>1.479963039391019E-2</v>
          </cell>
          <cell r="J294">
            <v>2.4743340282753046E-2</v>
          </cell>
          <cell r="K294">
            <v>2.8109409462517165E-2</v>
          </cell>
          <cell r="L294">
            <v>3.1750021455842825E-2</v>
          </cell>
        </row>
        <row r="295">
          <cell r="C295" t="str">
            <v>Vodafone IDEA</v>
          </cell>
          <cell r="I295">
            <v>7.9397198270140024E-2</v>
          </cell>
          <cell r="J295">
            <v>0.12894715192689676</v>
          </cell>
          <cell r="K295">
            <v>8.0505112928877409E-2</v>
          </cell>
          <cell r="L295">
            <v>5.002978463957386E-2</v>
          </cell>
        </row>
        <row r="296">
          <cell r="C296" t="str">
            <v>Indosat</v>
          </cell>
          <cell r="I296">
            <v>1.8312796208530768E-2</v>
          </cell>
          <cell r="J296">
            <v>7.63273512547471E-2</v>
          </cell>
          <cell r="K296">
            <v>6.4757160647571643E-2</v>
          </cell>
          <cell r="L296">
            <v>5.9064327485380153E-2</v>
          </cell>
        </row>
        <row r="297">
          <cell r="C297" t="str">
            <v>LG Uplus</v>
          </cell>
          <cell r="I297">
            <v>3.5709120300261743E-2</v>
          </cell>
          <cell r="J297">
            <v>1.9976592150546812E-2</v>
          </cell>
          <cell r="K297">
            <v>2.5940587483874511E-2</v>
          </cell>
          <cell r="L297">
            <v>2.6380370954908861E-2</v>
          </cell>
        </row>
        <row r="298">
          <cell r="C298" t="str">
            <v>Maxis</v>
          </cell>
          <cell r="I298">
            <v>3.1150319014100702E-2</v>
          </cell>
          <cell r="J298">
            <v>3.9837309401602239E-2</v>
          </cell>
          <cell r="K298">
            <v>3.2964428891750996E-2</v>
          </cell>
          <cell r="L298">
            <v>3.2052705853113039E-2</v>
          </cell>
        </row>
        <row r="299">
          <cell r="C299" t="str">
            <v>SK Telecom</v>
          </cell>
          <cell r="I299">
            <v>-6.5094685273879849E-2</v>
          </cell>
          <cell r="J299">
            <v>3.6472558434075708E-2</v>
          </cell>
          <cell r="K299">
            <v>1.728203435790765E-2</v>
          </cell>
          <cell r="L299">
            <v>1.7249508727542162E-2</v>
          </cell>
        </row>
        <row r="300">
          <cell r="C300" t="str">
            <v>True Corp</v>
          </cell>
          <cell r="I300">
            <v>9.3714794353570552E-2</v>
          </cell>
          <cell r="J300">
            <v>8.4615701645794683E-2</v>
          </cell>
          <cell r="K300">
            <v>3.4085979280499723E-2</v>
          </cell>
          <cell r="L300">
            <v>2.4063527283463282E-2</v>
          </cell>
        </row>
        <row r="301">
          <cell r="C301" t="str">
            <v>XL Axiata</v>
          </cell>
          <cell r="I301">
            <v>3.7405780674988787E-2</v>
          </cell>
          <cell r="J301">
            <v>0.18753324201351673</v>
          </cell>
          <cell r="K301">
            <v>0.1017296270370327</v>
          </cell>
          <cell r="L301">
            <v>9.7006967351235707E-2</v>
          </cell>
        </row>
        <row r="302">
          <cell r="C302" t="str">
            <v>Agg. Emerging Asia Cellular</v>
          </cell>
          <cell r="I302">
            <v>3.8728560067275986E-2</v>
          </cell>
          <cell r="J302">
            <v>5.7034778921180695E-2</v>
          </cell>
          <cell r="K302">
            <v>5.0124696938365076E-2</v>
          </cell>
          <cell r="L302">
            <v>4.9582756798813854E-2</v>
          </cell>
        </row>
        <row r="303">
          <cell r="C303"/>
          <cell r="I303"/>
          <cell r="J303"/>
          <cell r="K303"/>
          <cell r="L303"/>
        </row>
        <row r="304">
          <cell r="C304" t="str">
            <v>Agg. Emerging  Cellular</v>
          </cell>
          <cell r="I304">
            <v>6.072641141423385E-2</v>
          </cell>
          <cell r="J304">
            <v>6.9523543125709297E-2</v>
          </cell>
          <cell r="K304">
            <v>6.3294497709965203E-2</v>
          </cell>
          <cell r="L304">
            <v>5.9430740553085837E-2</v>
          </cell>
        </row>
        <row r="305">
          <cell r="C305"/>
          <cell r="I305"/>
          <cell r="J305"/>
          <cell r="K305"/>
          <cell r="L305"/>
        </row>
        <row r="306">
          <cell r="C306" t="str">
            <v>Agg. EMEA sector</v>
          </cell>
          <cell r="I306">
            <v>0.25597740424491056</v>
          </cell>
          <cell r="J306">
            <v>0.16494316079251581</v>
          </cell>
          <cell r="K306">
            <v>0.14907317585559388</v>
          </cell>
          <cell r="L306">
            <v>0.11889399512091536</v>
          </cell>
        </row>
        <row r="307">
          <cell r="C307" t="str">
            <v>Agg. LatAm sector</v>
          </cell>
          <cell r="I307">
            <v>3.4844814079326047E-2</v>
          </cell>
          <cell r="J307">
            <v>8.0054814761296278E-2</v>
          </cell>
          <cell r="K307">
            <v>3.9737210605148121E-2</v>
          </cell>
          <cell r="L307">
            <v>3.5795344079549318E-2</v>
          </cell>
        </row>
        <row r="308">
          <cell r="C308" t="str">
            <v>Agg. Emerging Asia sector</v>
          </cell>
          <cell r="I308">
            <v>4.1204210882333836E-2</v>
          </cell>
          <cell r="J308">
            <v>4.8042459509321844E-2</v>
          </cell>
          <cell r="K308">
            <v>4.4098406090778308E-2</v>
          </cell>
          <cell r="L308">
            <v>4.4363792495622167E-2</v>
          </cell>
        </row>
        <row r="309">
          <cell r="C309"/>
          <cell r="I309"/>
          <cell r="J309"/>
          <cell r="K309"/>
          <cell r="L309"/>
        </row>
        <row r="310">
          <cell r="C310" t="str">
            <v>Agg. Global EM sector</v>
          </cell>
          <cell r="I310">
            <v>5.3080566556833464E-2</v>
          </cell>
          <cell r="J310">
            <v>6.2674020579293055E-2</v>
          </cell>
          <cell r="K310">
            <v>5.1631136361689256E-2</v>
          </cell>
          <cell r="L310">
            <v>4.921896584716956E-2</v>
          </cell>
        </row>
        <row r="311">
          <cell r="C311"/>
          <cell r="I311"/>
          <cell r="J311"/>
          <cell r="K311"/>
          <cell r="L311"/>
        </row>
        <row r="312">
          <cell r="C312"/>
          <cell r="I312"/>
          <cell r="J312"/>
          <cell r="K312"/>
          <cell r="L312"/>
        </row>
        <row r="313">
          <cell r="C313"/>
          <cell r="I313" t="str">
            <v>EBITDA margin</v>
          </cell>
          <cell r="J313"/>
          <cell r="K313"/>
          <cell r="L313"/>
        </row>
        <row r="314">
          <cell r="C314" t="str">
            <v>America Movil</v>
          </cell>
          <cell r="I314">
            <v>0.39342752669553327</v>
          </cell>
          <cell r="J314">
            <v>0.3952921121301094</v>
          </cell>
          <cell r="K314">
            <v>0.39718346194891369</v>
          </cell>
          <cell r="L314">
            <v>0.39909299782366797</v>
          </cell>
        </row>
        <row r="315">
          <cell r="C315" t="str">
            <v>Vivo</v>
          </cell>
          <cell r="I315">
            <v>0.41564732741037597</v>
          </cell>
          <cell r="J315">
            <v>0.4226444991844357</v>
          </cell>
          <cell r="K315">
            <v>0.4292614844408848</v>
          </cell>
          <cell r="L315">
            <v>0.43432531808916708</v>
          </cell>
        </row>
        <row r="316">
          <cell r="C316" t="str">
            <v>Televisa</v>
          </cell>
          <cell r="I316">
            <v>0.35189438451504751</v>
          </cell>
          <cell r="J316">
            <v>0.35519457690432077</v>
          </cell>
          <cell r="K316">
            <v>0.35880765837055312</v>
          </cell>
          <cell r="L316">
            <v>0.36264521054328541</v>
          </cell>
        </row>
        <row r="317">
          <cell r="C317" t="str">
            <v>Agg. LatAm Incumbent</v>
          </cell>
          <cell r="I317">
            <v>0.69329562173301318</v>
          </cell>
          <cell r="J317">
            <v>0.69317132630626765</v>
          </cell>
          <cell r="K317">
            <v>0.69282996035929512</v>
          </cell>
          <cell r="L317">
            <v>0.69266225254389902</v>
          </cell>
        </row>
        <row r="318">
          <cell r="C318"/>
          <cell r="I318"/>
          <cell r="J318"/>
          <cell r="K318"/>
          <cell r="L318"/>
        </row>
        <row r="319">
          <cell r="C319" t="str">
            <v>China Telecom</v>
          </cell>
          <cell r="I319">
            <v>0.27399406764888745</v>
          </cell>
          <cell r="J319">
            <v>0.27773549438727568</v>
          </cell>
          <cell r="K319">
            <v>0.28030693488007247</v>
          </cell>
          <cell r="L319">
            <v>0.28383148515550566</v>
          </cell>
        </row>
        <row r="320">
          <cell r="C320" t="str">
            <v>China Unicom</v>
          </cell>
          <cell r="I320">
            <v>0.24805346933047695</v>
          </cell>
          <cell r="J320">
            <v>0.24350660609508867</v>
          </cell>
          <cell r="K320">
            <v>0.24109426438215226</v>
          </cell>
          <cell r="L320">
            <v>0.2398215222316315</v>
          </cell>
        </row>
        <row r="321">
          <cell r="C321" t="str">
            <v>KT Corp</v>
          </cell>
          <cell r="I321">
            <v>0.21806365191956567</v>
          </cell>
          <cell r="J321">
            <v>0.21936579248284238</v>
          </cell>
          <cell r="K321">
            <v>0.22023058368476908</v>
          </cell>
          <cell r="L321">
            <v>0.22142261726786061</v>
          </cell>
        </row>
        <row r="322">
          <cell r="C322" t="str">
            <v>Telkom Indonesia</v>
          </cell>
          <cell r="I322">
            <v>0.49934959923271172</v>
          </cell>
          <cell r="J322">
            <v>0.50173022130330946</v>
          </cell>
          <cell r="K322">
            <v>0.50425724623003598</v>
          </cell>
          <cell r="L322">
            <v>0.50694018335166724</v>
          </cell>
        </row>
        <row r="323">
          <cell r="C323" t="str">
            <v>Agg. Emerging Asia Incumbent</v>
          </cell>
          <cell r="I323">
            <v>0.27072702178242292</v>
          </cell>
          <cell r="J323">
            <v>0.27156937115074498</v>
          </cell>
          <cell r="K323">
            <v>0.27226853872652307</v>
          </cell>
          <cell r="L323">
            <v>0.27384368644724671</v>
          </cell>
        </row>
        <row r="324">
          <cell r="C324"/>
          <cell r="I324"/>
          <cell r="J324"/>
          <cell r="K324"/>
          <cell r="L324"/>
        </row>
        <row r="325">
          <cell r="C325" t="str">
            <v>Agg. Emerging Incumbent</v>
          </cell>
          <cell r="I325">
            <v>0.30569027418417755</v>
          </cell>
          <cell r="J325">
            <v>0.30844083324683624</v>
          </cell>
          <cell r="K325">
            <v>0.30976483684575651</v>
          </cell>
          <cell r="L325">
            <v>0.31158322143606526</v>
          </cell>
        </row>
        <row r="326">
          <cell r="C326"/>
          <cell r="I326"/>
          <cell r="J326"/>
          <cell r="K326"/>
          <cell r="L326"/>
        </row>
        <row r="327">
          <cell r="C327" t="str">
            <v>Airtel Africa</v>
          </cell>
          <cell r="I327">
            <v>0.35318768750698504</v>
          </cell>
          <cell r="J327">
            <v>0.39107660514017212</v>
          </cell>
          <cell r="K327">
            <v>0.41311284858842084</v>
          </cell>
          <cell r="L327">
            <v>0.43219399208705728</v>
          </cell>
        </row>
        <row r="328">
          <cell r="C328" t="str">
            <v>MTN</v>
          </cell>
          <cell r="I328">
            <v>0.32831066046646806</v>
          </cell>
          <cell r="J328">
            <v>0.35495241704735059</v>
          </cell>
          <cell r="K328">
            <v>0.37264456696289039</v>
          </cell>
          <cell r="L328">
            <v>0.38207519520402639</v>
          </cell>
        </row>
        <row r="329">
          <cell r="C329" t="str">
            <v>Safaricom</v>
          </cell>
          <cell r="I329">
            <v>0.49584939549122337</v>
          </cell>
          <cell r="J329">
            <v>0.50695526161122451</v>
          </cell>
          <cell r="K329">
            <v>0.50846017573448665</v>
          </cell>
          <cell r="L329">
            <v>0.51041772933988971</v>
          </cell>
        </row>
        <row r="330">
          <cell r="C330" t="str">
            <v>VEON</v>
          </cell>
          <cell r="I330">
            <v>0.42823281991480278</v>
          </cell>
          <cell r="J330">
            <v>0.43284929404960454</v>
          </cell>
          <cell r="K330">
            <v>0.44051132347393285</v>
          </cell>
          <cell r="L330">
            <v>0.44473873869045055</v>
          </cell>
        </row>
        <row r="331">
          <cell r="C331" t="str">
            <v>Vodacom</v>
          </cell>
          <cell r="I331">
            <v>0.28628948559627826</v>
          </cell>
          <cell r="J331">
            <v>0.29298335568504119</v>
          </cell>
          <cell r="K331">
            <v>0.31023644911103704</v>
          </cell>
          <cell r="L331">
            <v>0.32486059308225407</v>
          </cell>
        </row>
        <row r="332">
          <cell r="C332" t="str">
            <v>Agg. EMEA Cellular</v>
          </cell>
          <cell r="I332">
            <v>0.34742292243244594</v>
          </cell>
          <cell r="J332">
            <v>0.36604807977763199</v>
          </cell>
          <cell r="K332">
            <v>0.38139516783025862</v>
          </cell>
          <cell r="L332">
            <v>0.39248353788112794</v>
          </cell>
        </row>
        <row r="333">
          <cell r="C333"/>
          <cell r="I333"/>
          <cell r="J333"/>
          <cell r="K333"/>
          <cell r="L333"/>
        </row>
        <row r="334">
          <cell r="C334" t="str">
            <v>Entel</v>
          </cell>
          <cell r="I334">
            <v>0.22192455155417443</v>
          </cell>
          <cell r="J334">
            <v>0.22573338207998531</v>
          </cell>
          <cell r="K334">
            <v>0.22937182612144358</v>
          </cell>
          <cell r="L334">
            <v>0.23120578264115857</v>
          </cell>
        </row>
        <row r="335">
          <cell r="C335" t="str">
            <v>Millicom</v>
          </cell>
          <cell r="I335">
            <v>0.43114187348204641</v>
          </cell>
          <cell r="J335">
            <v>0.42765950855479951</v>
          </cell>
          <cell r="K335">
            <v>0.43196340835125435</v>
          </cell>
          <cell r="L335">
            <v>0.43656602532548966</v>
          </cell>
        </row>
        <row r="336">
          <cell r="C336" t="str">
            <v>TIM Participacoes</v>
          </cell>
          <cell r="I336">
            <v>0.50681218488125002</v>
          </cell>
          <cell r="J336">
            <v>0.52051270200590016</v>
          </cell>
          <cell r="K336">
            <v>0.53374611638063407</v>
          </cell>
          <cell r="L336">
            <v>0.54526747717935709</v>
          </cell>
        </row>
        <row r="337">
          <cell r="C337" t="str">
            <v>Megacable</v>
          </cell>
          <cell r="I337">
            <v>0.45117404540163364</v>
          </cell>
          <cell r="J337">
            <v>0.46185745269253614</v>
          </cell>
          <cell r="K337">
            <v>0.46840022685629207</v>
          </cell>
          <cell r="L337">
            <v>0.48055180550426913</v>
          </cell>
        </row>
        <row r="338">
          <cell r="C338" t="str">
            <v>LiLAC</v>
          </cell>
          <cell r="I338">
            <v>0.38260159317485853</v>
          </cell>
          <cell r="J338">
            <v>0.393768570523086</v>
          </cell>
          <cell r="K338">
            <v>0.39519640385807836</v>
          </cell>
          <cell r="L338">
            <v>0.39544566936099013</v>
          </cell>
        </row>
        <row r="339">
          <cell r="C339" t="str">
            <v>Agg. LatAm Other</v>
          </cell>
          <cell r="I339">
            <v>0.4089255722291204</v>
          </cell>
          <cell r="J339">
            <v>0.41611155643990011</v>
          </cell>
          <cell r="K339">
            <v>0.42304644073425918</v>
          </cell>
          <cell r="L339">
            <v>0.42970491886701057</v>
          </cell>
        </row>
        <row r="340">
          <cell r="C340"/>
          <cell r="I340"/>
          <cell r="J340"/>
          <cell r="K340"/>
          <cell r="L340"/>
        </row>
        <row r="341">
          <cell r="C341" t="str">
            <v>AIS</v>
          </cell>
          <cell r="I341">
            <v>0.52673049537014738</v>
          </cell>
          <cell r="J341">
            <v>0.52812693632644536</v>
          </cell>
          <cell r="K341">
            <v>0.52888014905177461</v>
          </cell>
          <cell r="L341">
            <v>0.52957184990059303</v>
          </cell>
        </row>
        <row r="342">
          <cell r="C342" t="str">
            <v>Axiata</v>
          </cell>
          <cell r="I342">
            <v>0.45454545454545453</v>
          </cell>
          <cell r="J342">
            <v>0.46046037543531809</v>
          </cell>
          <cell r="K342">
            <v>0.46459739832043473</v>
          </cell>
          <cell r="L342">
            <v>0.46805788758295352</v>
          </cell>
        </row>
        <row r="343">
          <cell r="C343" t="str">
            <v>Bharti Airtel</v>
          </cell>
          <cell r="I343">
            <v>0.56883329665812488</v>
          </cell>
          <cell r="J343">
            <v>0.574378536945787</v>
          </cell>
          <cell r="K343">
            <v>0.57819389969710666</v>
          </cell>
          <cell r="L343">
            <v>0.58216148854809602</v>
          </cell>
        </row>
        <row r="344">
          <cell r="C344" t="str">
            <v>China Mobile</v>
          </cell>
          <cell r="I344">
            <v>0.32370396683070229</v>
          </cell>
          <cell r="J344">
            <v>0.32330301984594112</v>
          </cell>
          <cell r="K344">
            <v>0.32360649529774432</v>
          </cell>
          <cell r="L344">
            <v>0.32582315529106748</v>
          </cell>
        </row>
        <row r="345">
          <cell r="C345" t="str">
            <v>CelcomDigi</v>
          </cell>
          <cell r="I345">
            <v>0.46044334208805887</v>
          </cell>
          <cell r="J345">
            <v>0.46458592062666421</v>
          </cell>
          <cell r="K345">
            <v>0.46880164030985605</v>
          </cell>
          <cell r="L345">
            <v>0.4734038250521605</v>
          </cell>
        </row>
        <row r="346">
          <cell r="C346" t="str">
            <v>Vodafone IDEA</v>
          </cell>
          <cell r="I346">
            <v>0.42453009264701569</v>
          </cell>
          <cell r="J346">
            <v>0.43578802790261167</v>
          </cell>
          <cell r="K346">
            <v>0.44267306335064532</v>
          </cell>
          <cell r="L346">
            <v>0.44696126564382177</v>
          </cell>
        </row>
        <row r="347">
          <cell r="C347" t="str">
            <v>Indosat</v>
          </cell>
          <cell r="I347">
            <v>0.47518621397356736</v>
          </cell>
          <cell r="J347">
            <v>0.47883124627310675</v>
          </cell>
          <cell r="K347">
            <v>0.48239221402040527</v>
          </cell>
          <cell r="L347">
            <v>0.4857905011698434</v>
          </cell>
        </row>
        <row r="348">
          <cell r="C348" t="str">
            <v>LG Uplus</v>
          </cell>
          <cell r="I348">
            <v>0.24496121485598624</v>
          </cell>
          <cell r="J348">
            <v>0.24541077207031167</v>
          </cell>
          <cell r="K348">
            <v>0.2471999579253939</v>
          </cell>
          <cell r="L348">
            <v>0.24901755325335595</v>
          </cell>
        </row>
        <row r="349">
          <cell r="C349" t="str">
            <v>Maxis</v>
          </cell>
          <cell r="I349">
            <v>0.40157524862043481</v>
          </cell>
          <cell r="J349">
            <v>0.40312773597425211</v>
          </cell>
          <cell r="K349">
            <v>0.4046588691856961</v>
          </cell>
          <cell r="L349">
            <v>0.40617875575730245</v>
          </cell>
        </row>
        <row r="350">
          <cell r="C350" t="str">
            <v>SK Telecom</v>
          </cell>
          <cell r="I350">
            <v>0.29333107434510181</v>
          </cell>
          <cell r="J350">
            <v>0.29800012637310697</v>
          </cell>
          <cell r="K350">
            <v>0.2967360224667745</v>
          </cell>
          <cell r="L350">
            <v>0.29537764393743432</v>
          </cell>
        </row>
        <row r="351">
          <cell r="C351" t="str">
            <v>True Corp</v>
          </cell>
          <cell r="I351">
            <v>0.52874846434442624</v>
          </cell>
          <cell r="J351">
            <v>0.60165893739868159</v>
          </cell>
          <cell r="K351">
            <v>0.607006934592902</v>
          </cell>
          <cell r="L351">
            <v>0.60773056651959612</v>
          </cell>
        </row>
        <row r="352">
          <cell r="C352" t="str">
            <v>XL Axiata</v>
          </cell>
          <cell r="I352">
            <v>0.43668436543586781</v>
          </cell>
          <cell r="J352">
            <v>0.46585009015867812</v>
          </cell>
          <cell r="K352">
            <v>0.49180022040220817</v>
          </cell>
          <cell r="L352">
            <v>0.51700000000000002</v>
          </cell>
        </row>
        <row r="353">
          <cell r="C353" t="str">
            <v>Agg. Emerging Asia Cellular</v>
          </cell>
          <cell r="I353">
            <v>0.36653234738813523</v>
          </cell>
          <cell r="J353">
            <v>0.37288523736824841</v>
          </cell>
          <cell r="K353">
            <v>0.37713515094187278</v>
          </cell>
          <cell r="L353">
            <v>0.38195913655092789</v>
          </cell>
        </row>
        <row r="354">
          <cell r="C354"/>
          <cell r="I354"/>
          <cell r="J354"/>
          <cell r="K354"/>
          <cell r="L354"/>
        </row>
        <row r="355">
          <cell r="C355" t="str">
            <v>Agg. Emerging  Cellular</v>
          </cell>
          <cell r="I355">
            <v>0.36708598435803091</v>
          </cell>
          <cell r="J355">
            <v>0.37496958731076047</v>
          </cell>
          <cell r="K355">
            <v>0.38089467534518234</v>
          </cell>
          <cell r="L355">
            <v>0.38676453661293342</v>
          </cell>
        </row>
        <row r="356">
          <cell r="C356"/>
          <cell r="I356"/>
          <cell r="J356"/>
          <cell r="K356"/>
          <cell r="L356"/>
        </row>
        <row r="357">
          <cell r="C357" t="str">
            <v>Agg. EMEA sector</v>
          </cell>
          <cell r="I357">
            <v>0.34742292243244594</v>
          </cell>
          <cell r="J357">
            <v>0.36604807977763199</v>
          </cell>
          <cell r="K357">
            <v>0.38139516783025862</v>
          </cell>
          <cell r="L357">
            <v>0.39248353788112794</v>
          </cell>
        </row>
        <row r="358">
          <cell r="C358" t="str">
            <v>Agg. LatAm sector</v>
          </cell>
          <cell r="I358">
            <v>0.39868621279135724</v>
          </cell>
          <cell r="J358">
            <v>0.40246995220863968</v>
          </cell>
          <cell r="K358">
            <v>0.40640667450111889</v>
          </cell>
          <cell r="L358">
            <v>0.41010978283643318</v>
          </cell>
        </row>
        <row r="359">
          <cell r="C359" t="str">
            <v>Agg. Emerging Asia sector</v>
          </cell>
          <cell r="I359">
            <v>0.32684832876904141</v>
          </cell>
          <cell r="J359">
            <v>0.33118958125391496</v>
          </cell>
          <cell r="K359">
            <v>0.33419113452205373</v>
          </cell>
          <cell r="L359">
            <v>0.33789563089455554</v>
          </cell>
        </row>
        <row r="360">
          <cell r="C360"/>
          <cell r="I360"/>
          <cell r="J360"/>
          <cell r="K360"/>
          <cell r="L360"/>
        </row>
        <row r="361">
          <cell r="C361" t="str">
            <v>Agg. Global EM sector</v>
          </cell>
          <cell r="I361">
            <v>0.34002539658536329</v>
          </cell>
          <cell r="J361">
            <v>0.34571220365204069</v>
          </cell>
          <cell r="K361">
            <v>0.3499107814741389</v>
          </cell>
          <cell r="L361">
            <v>0.35430892682069237</v>
          </cell>
        </row>
        <row r="362">
          <cell r="C362"/>
          <cell r="I362"/>
          <cell r="J362"/>
          <cell r="K362"/>
          <cell r="L362"/>
        </row>
        <row r="363">
          <cell r="C363"/>
          <cell r="I363"/>
          <cell r="J363"/>
          <cell r="K363"/>
          <cell r="L363"/>
        </row>
        <row r="364">
          <cell r="C364"/>
          <cell r="I364" t="str">
            <v>Adj net income margin</v>
          </cell>
          <cell r="J364"/>
          <cell r="K364"/>
          <cell r="L364"/>
        </row>
        <row r="365">
          <cell r="C365" t="str">
            <v>America Movil</v>
          </cell>
          <cell r="I365">
            <v>9.334862553249422E-2</v>
          </cell>
          <cell r="J365">
            <v>0.10415804145538855</v>
          </cell>
          <cell r="K365">
            <v>0.11211860478118203</v>
          </cell>
          <cell r="L365">
            <v>0.11810862910230328</v>
          </cell>
        </row>
        <row r="366">
          <cell r="C366" t="str">
            <v>Vivo</v>
          </cell>
          <cell r="I366">
            <v>0.11099358571887698</v>
          </cell>
          <cell r="J366">
            <v>0.13064839071885387</v>
          </cell>
          <cell r="K366">
            <v>0.15627020199285843</v>
          </cell>
          <cell r="L366">
            <v>0.17017613075674787</v>
          </cell>
        </row>
        <row r="367">
          <cell r="C367" t="str">
            <v>Televisa</v>
          </cell>
          <cell r="I367">
            <v>-2.3749105732479195E-2</v>
          </cell>
          <cell r="J367">
            <v>-1.9137480903471372E-2</v>
          </cell>
          <cell r="K367">
            <v>-1.1005670669986225E-2</v>
          </cell>
          <cell r="L367">
            <v>1.0170788336480012E-2</v>
          </cell>
        </row>
        <row r="368">
          <cell r="C368" t="str">
            <v>Agg. LatAm Incumbent</v>
          </cell>
          <cell r="I368">
            <v>-0.13005925469356247</v>
          </cell>
          <cell r="J368">
            <v>-0.11120032784682446</v>
          </cell>
          <cell r="K368">
            <v>-9.2492992338190194E-2</v>
          </cell>
          <cell r="L368">
            <v>-7.4827392878965546E-2</v>
          </cell>
        </row>
        <row r="369">
          <cell r="C369"/>
          <cell r="I369"/>
          <cell r="J369"/>
          <cell r="K369"/>
          <cell r="L369"/>
        </row>
        <row r="370">
          <cell r="C370" t="str">
            <v>China Telecom</v>
          </cell>
          <cell r="I370">
            <v>6.7458305675102678E-2</v>
          </cell>
          <cell r="J370">
            <v>7.0938303276387296E-2</v>
          </cell>
          <cell r="K370">
            <v>7.4564658465973571E-2</v>
          </cell>
          <cell r="L370">
            <v>7.7629235556060008E-2</v>
          </cell>
        </row>
        <row r="371">
          <cell r="C371" t="str">
            <v>China Unicom</v>
          </cell>
          <cell r="I371">
            <v>5.1530420289827218E-2</v>
          </cell>
          <cell r="J371">
            <v>5.6314950320397114E-2</v>
          </cell>
          <cell r="K371">
            <v>6.2404921259773878E-2</v>
          </cell>
          <cell r="L371">
            <v>6.9076997334293982E-2</v>
          </cell>
        </row>
        <row r="372">
          <cell r="C372" t="str">
            <v>KT Corp</v>
          </cell>
          <cell r="I372">
            <v>5.6456453588236942E-2</v>
          </cell>
          <cell r="J372">
            <v>5.9325018707129036E-2</v>
          </cell>
          <cell r="K372">
            <v>6.4422762233960276E-2</v>
          </cell>
          <cell r="L372">
            <v>6.9382959049857765E-2</v>
          </cell>
        </row>
        <row r="373">
          <cell r="C373" t="str">
            <v>Telkom Indonesia</v>
          </cell>
          <cell r="I373">
            <v>0.14844470559751935</v>
          </cell>
          <cell r="J373">
            <v>0.14555992302012974</v>
          </cell>
          <cell r="K373">
            <v>0.1465253146680999</v>
          </cell>
          <cell r="L373">
            <v>0.15015269458285113</v>
          </cell>
        </row>
        <row r="374">
          <cell r="C374" t="str">
            <v>Agg. Emerging Asia Incumbent</v>
          </cell>
          <cell r="I374">
            <v>6.5098042073146511E-2</v>
          </cell>
          <cell r="J374">
            <v>6.8693845835762241E-2</v>
          </cell>
          <cell r="K374">
            <v>7.3220858849444834E-2</v>
          </cell>
          <cell r="L374">
            <v>7.7823246657510697E-2</v>
          </cell>
        </row>
        <row r="375">
          <cell r="C375"/>
          <cell r="I375"/>
          <cell r="J375"/>
          <cell r="K375"/>
          <cell r="L375"/>
        </row>
        <row r="376">
          <cell r="C376" t="str">
            <v>Agg. Emerging Incumbent</v>
          </cell>
          <cell r="I376">
            <v>7.2358355245042971E-2</v>
          </cell>
          <cell r="J376">
            <v>7.8829262332406766E-2</v>
          </cell>
          <cell r="K376">
            <v>8.5350023087013713E-2</v>
          </cell>
          <cell r="L376">
            <v>9.1007801186904561E-2</v>
          </cell>
        </row>
        <row r="377">
          <cell r="C377"/>
          <cell r="I377"/>
          <cell r="J377"/>
          <cell r="K377"/>
          <cell r="L377"/>
        </row>
        <row r="378">
          <cell r="C378" t="str">
            <v>Airtel Africa</v>
          </cell>
          <cell r="I378">
            <v>0.16356960884667213</v>
          </cell>
          <cell r="J378">
            <v>0.1380921449568551</v>
          </cell>
          <cell r="K378">
            <v>0.16395794906046393</v>
          </cell>
          <cell r="L378">
            <v>0.18771267523680221</v>
          </cell>
        </row>
        <row r="379">
          <cell r="C379" t="str">
            <v>MTN</v>
          </cell>
          <cell r="I379">
            <v>0.11494402797223857</v>
          </cell>
          <cell r="J379">
            <v>0.13553233198075207</v>
          </cell>
          <cell r="K379">
            <v>0.15357381542283161</v>
          </cell>
          <cell r="L379">
            <v>0.16416729602617269</v>
          </cell>
        </row>
        <row r="380">
          <cell r="C380" t="str">
            <v>Safaricom</v>
          </cell>
          <cell r="I380">
            <v>0.21581998997642546</v>
          </cell>
          <cell r="J380">
            <v>0.21924847143738943</v>
          </cell>
          <cell r="K380">
            <v>0.21926276150480428</v>
          </cell>
          <cell r="L380">
            <v>0.21985034212514032</v>
          </cell>
        </row>
        <row r="381">
          <cell r="C381" t="str">
            <v>VEON</v>
          </cell>
          <cell r="I381">
            <v>9.3399389793376489E-2</v>
          </cell>
          <cell r="J381">
            <v>0.10354123980164381</v>
          </cell>
          <cell r="K381">
            <v>0.11815130918767099</v>
          </cell>
          <cell r="L381">
            <v>0.13545722154917389</v>
          </cell>
        </row>
        <row r="382">
          <cell r="C382" t="str">
            <v>Vodacom</v>
          </cell>
          <cell r="I382">
            <v>0.12615102060621047</v>
          </cell>
          <cell r="J382">
            <v>0.13738578416563407</v>
          </cell>
          <cell r="K382">
            <v>0.15034580128946265</v>
          </cell>
          <cell r="L382">
            <v>0.16514190675096674</v>
          </cell>
        </row>
        <row r="383">
          <cell r="C383" t="str">
            <v>Agg. EMEA Cellular</v>
          </cell>
          <cell r="I383">
            <v>0.13224835730070592</v>
          </cell>
          <cell r="J383">
            <v>0.13964193170640177</v>
          </cell>
          <cell r="K383">
            <v>0.15567269430011998</v>
          </cell>
          <cell r="L383">
            <v>0.16958798240588596</v>
          </cell>
        </row>
        <row r="384">
          <cell r="C384"/>
          <cell r="I384"/>
          <cell r="J384"/>
          <cell r="K384"/>
          <cell r="L384"/>
        </row>
        <row r="385">
          <cell r="C385" t="str">
            <v>Entel</v>
          </cell>
          <cell r="I385">
            <v>3.3205519293319379E-2</v>
          </cell>
          <cell r="J385">
            <v>4.5866341257994846E-2</v>
          </cell>
          <cell r="K385">
            <v>5.5972937184281896E-2</v>
          </cell>
          <cell r="L385">
            <v>5.7962999780950597E-2</v>
          </cell>
        </row>
        <row r="386">
          <cell r="C386" t="str">
            <v>Millicom</v>
          </cell>
          <cell r="I386">
            <v>7.7654528034007755E-2</v>
          </cell>
          <cell r="J386">
            <v>0.1247654810567336</v>
          </cell>
          <cell r="K386">
            <v>0.12106188090057284</v>
          </cell>
          <cell r="L386">
            <v>0.12343911554656888</v>
          </cell>
        </row>
        <row r="387">
          <cell r="C387" t="str">
            <v>TIM Participacoes</v>
          </cell>
          <cell r="I387">
            <v>0.14982544416438862</v>
          </cell>
          <cell r="J387">
            <v>0.16226829287013064</v>
          </cell>
          <cell r="K387">
            <v>0.18146571444127957</v>
          </cell>
          <cell r="L387">
            <v>0.19842593400904973</v>
          </cell>
        </row>
        <row r="388">
          <cell r="C388" t="str">
            <v>Megacable</v>
          </cell>
          <cell r="I388">
            <v>0.19347157786892227</v>
          </cell>
          <cell r="J388">
            <v>0.20868252638880541</v>
          </cell>
          <cell r="K388">
            <v>0.20805676424294442</v>
          </cell>
          <cell r="L388">
            <v>0.20965658888102043</v>
          </cell>
        </row>
        <row r="389">
          <cell r="C389" t="str">
            <v>LiLAC</v>
          </cell>
          <cell r="I389">
            <v>-2.3859614956551162E-3</v>
          </cell>
          <cell r="J389">
            <v>3.597886895249696E-2</v>
          </cell>
          <cell r="K389">
            <v>5.5355970141877514E-2</v>
          </cell>
          <cell r="L389">
            <v>6.7641656786176577E-2</v>
          </cell>
        </row>
        <row r="390">
          <cell r="C390" t="str">
            <v>Agg. LatAm Other</v>
          </cell>
          <cell r="I390">
            <v>8.2172049831676627E-2</v>
          </cell>
          <cell r="J390">
            <v>0.11105032274652803</v>
          </cell>
          <cell r="K390">
            <v>0.12138461771310302</v>
          </cell>
          <cell r="L390">
            <v>0.13016812499603359</v>
          </cell>
        </row>
        <row r="391">
          <cell r="C391"/>
          <cell r="I391"/>
          <cell r="J391"/>
          <cell r="K391"/>
          <cell r="L391"/>
        </row>
        <row r="392">
          <cell r="C392" t="str">
            <v>AIS</v>
          </cell>
          <cell r="I392">
            <v>0.18464536536992221</v>
          </cell>
          <cell r="J392">
            <v>0.19473255409568896</v>
          </cell>
          <cell r="K392">
            <v>0.20782453912192844</v>
          </cell>
          <cell r="L392">
            <v>0.22597777812252026</v>
          </cell>
        </row>
        <row r="393">
          <cell r="C393" t="str">
            <v>Axiata</v>
          </cell>
          <cell r="I393">
            <v>6.8446088794926002E-2</v>
          </cell>
          <cell r="J393">
            <v>7.9249129363798521E-2</v>
          </cell>
          <cell r="K393">
            <v>0.11230034579285361</v>
          </cell>
          <cell r="L393">
            <v>0.15847125609658591</v>
          </cell>
        </row>
        <row r="394">
          <cell r="C394" t="str">
            <v>Bharti Airtel</v>
          </cell>
          <cell r="I394">
            <v>0.1518820280256388</v>
          </cell>
          <cell r="J394">
            <v>0.18770768305460417</v>
          </cell>
          <cell r="K394">
            <v>0.21322272863149039</v>
          </cell>
          <cell r="L394">
            <v>0.23148515885314122</v>
          </cell>
        </row>
        <row r="395">
          <cell r="C395" t="str">
            <v>China Mobile</v>
          </cell>
          <cell r="I395">
            <v>0.13971313336654237</v>
          </cell>
          <cell r="J395">
            <v>0.14370292867968565</v>
          </cell>
          <cell r="K395">
            <v>0.14851765429698197</v>
          </cell>
          <cell r="L395">
            <v>0.15429573765973806</v>
          </cell>
        </row>
        <row r="396">
          <cell r="C396" t="str">
            <v>CelcomDigi</v>
          </cell>
          <cell r="I396">
            <v>0.13699476810263977</v>
          </cell>
          <cell r="J396">
            <v>0.13957569013523821</v>
          </cell>
          <cell r="K396">
            <v>0.14781423235886573</v>
          </cell>
          <cell r="L396">
            <v>0.16075496926474991</v>
          </cell>
        </row>
        <row r="397">
          <cell r="C397" t="str">
            <v>Vodafone IDEA</v>
          </cell>
          <cell r="I397">
            <v>-0.51728686134441304</v>
          </cell>
          <cell r="J397">
            <v>-0.52183124906916623</v>
          </cell>
          <cell r="K397">
            <v>-0.54982283640522878</v>
          </cell>
          <cell r="L397">
            <v>-0.58854976784486024</v>
          </cell>
        </row>
        <row r="398">
          <cell r="C398" t="str">
            <v>Indosat</v>
          </cell>
          <cell r="I398">
            <v>9.0019638718352474E-2</v>
          </cell>
          <cell r="J398">
            <v>9.7164248327039029E-2</v>
          </cell>
          <cell r="K398">
            <v>0.10613255598915479</v>
          </cell>
          <cell r="L398">
            <v>0.11756553358270122</v>
          </cell>
        </row>
        <row r="399">
          <cell r="C399" t="str">
            <v>LG Uplus</v>
          </cell>
          <cell r="I399">
            <v>4.5080857358246282E-2</v>
          </cell>
          <cell r="J399">
            <v>5.2010623864961344E-2</v>
          </cell>
          <cell r="K399">
            <v>5.8850812206851053E-2</v>
          </cell>
          <cell r="L399">
            <v>6.4767138135873301E-2</v>
          </cell>
        </row>
        <row r="400">
          <cell r="C400" t="str">
            <v>Maxis</v>
          </cell>
          <cell r="I400">
            <v>0.1490580251989031</v>
          </cell>
          <cell r="J400">
            <v>0.16140249682191796</v>
          </cell>
          <cell r="K400">
            <v>0.17034542676136294</v>
          </cell>
          <cell r="L400">
            <v>0.17745315535490364</v>
          </cell>
        </row>
        <row r="401">
          <cell r="C401" t="str">
            <v>SK Telecom</v>
          </cell>
          <cell r="I401">
            <v>4.1802837635351975E-2</v>
          </cell>
          <cell r="J401">
            <v>5.0124376050699845E-2</v>
          </cell>
          <cell r="K401">
            <v>5.4509345068353476E-2</v>
          </cell>
          <cell r="L401">
            <v>5.8849902642695982E-2</v>
          </cell>
        </row>
        <row r="402">
          <cell r="C402" t="str">
            <v>True Corp</v>
          </cell>
          <cell r="I402">
            <v>6.3039143345853588E-2</v>
          </cell>
          <cell r="J402">
            <v>0.10880681772808046</v>
          </cell>
          <cell r="K402">
            <v>0.1573442733236439</v>
          </cell>
          <cell r="L402">
            <v>0.19868803250319744</v>
          </cell>
        </row>
        <row r="403">
          <cell r="C403" t="str">
            <v>XL Axiata</v>
          </cell>
          <cell r="I403">
            <v>2.8623714376260056E-2</v>
          </cell>
          <cell r="J403">
            <v>3.6723026021558684E-2</v>
          </cell>
          <cell r="K403">
            <v>5.9837084422479134E-2</v>
          </cell>
          <cell r="L403">
            <v>8.46750301157837E-2</v>
          </cell>
        </row>
        <row r="404">
          <cell r="C404" t="str">
            <v>Agg. Emerging Asia Cellular</v>
          </cell>
          <cell r="I404">
            <v>0.11270661886353155</v>
          </cell>
          <cell r="J404">
            <v>0.12164156279113691</v>
          </cell>
          <cell r="K404">
            <v>0.13065343803707072</v>
          </cell>
          <cell r="L404">
            <v>0.13974482502092664</v>
          </cell>
        </row>
        <row r="405">
          <cell r="C405"/>
          <cell r="I405"/>
          <cell r="J405"/>
          <cell r="K405"/>
          <cell r="L405"/>
        </row>
        <row r="406">
          <cell r="C406" t="str">
            <v>Agg. Emerging  Cellular</v>
          </cell>
          <cell r="I406">
            <v>0.11304417076394266</v>
          </cell>
          <cell r="J406">
            <v>0.12332783099308771</v>
          </cell>
          <cell r="K406">
            <v>0.13356376780154888</v>
          </cell>
          <cell r="L406">
            <v>0.14350238730130091</v>
          </cell>
        </row>
        <row r="407">
          <cell r="C407"/>
          <cell r="I407"/>
          <cell r="J407"/>
          <cell r="K407"/>
          <cell r="L407"/>
        </row>
        <row r="408">
          <cell r="C408" t="str">
            <v>Agg. EMEA sector</v>
          </cell>
          <cell r="I408">
            <v>0.13224835730070592</v>
          </cell>
          <cell r="J408">
            <v>0.13964193170640177</v>
          </cell>
          <cell r="K408">
            <v>0.15567269430011998</v>
          </cell>
          <cell r="L408">
            <v>0.16958798240588596</v>
          </cell>
        </row>
        <row r="409">
          <cell r="C409" t="str">
            <v>Agg. LatAm sector</v>
          </cell>
          <cell r="I409">
            <v>8.8858000523422673E-2</v>
          </cell>
          <cell r="J409">
            <v>0.10528877488249613</v>
          </cell>
          <cell r="K409">
            <v>0.11646843482860075</v>
          </cell>
          <cell r="L409">
            <v>0.12493126016401412</v>
          </cell>
        </row>
        <row r="410">
          <cell r="C410" t="str">
            <v>Agg. Emerging Asia sector</v>
          </cell>
          <cell r="I410">
            <v>9.2986424439751539E-2</v>
          </cell>
          <cell r="J410">
            <v>9.9851394275270608E-2</v>
          </cell>
          <cell r="K410">
            <v>0.10713417321519303</v>
          </cell>
          <cell r="L410">
            <v>0.1145080821146047</v>
          </cell>
        </row>
        <row r="411">
          <cell r="C411"/>
          <cell r="I411"/>
          <cell r="J411"/>
          <cell r="K411"/>
          <cell r="L411"/>
        </row>
        <row r="412">
          <cell r="C412" t="str">
            <v>Agg. Global EM sector</v>
          </cell>
          <cell r="I412">
            <v>9.5111613605891834E-2</v>
          </cell>
          <cell r="J412">
            <v>0.10375867305697965</v>
          </cell>
          <cell r="K412">
            <v>0.11256203940070628</v>
          </cell>
          <cell r="L412">
            <v>0.12084058896582497</v>
          </cell>
        </row>
        <row r="413">
          <cell r="C413"/>
          <cell r="I413"/>
          <cell r="J413"/>
          <cell r="K413"/>
          <cell r="L413"/>
        </row>
        <row r="414">
          <cell r="C414"/>
          <cell r="I414"/>
          <cell r="J414"/>
          <cell r="K414"/>
          <cell r="L414"/>
        </row>
        <row r="415">
          <cell r="C415"/>
          <cell r="I415" t="str">
            <v>OpFCF/net interest</v>
          </cell>
          <cell r="J415"/>
          <cell r="K415"/>
          <cell r="L415"/>
        </row>
        <row r="416">
          <cell r="C416" t="str">
            <v>America Movil</v>
          </cell>
          <cell r="I416">
            <v>-4.7588225403831581</v>
          </cell>
          <cell r="J416">
            <v>-5.5150497463049897</v>
          </cell>
          <cell r="K416">
            <v>-6.3069201549041791</v>
          </cell>
          <cell r="L416">
            <v>-7.2032537080036176</v>
          </cell>
        </row>
        <row r="417">
          <cell r="C417" t="str">
            <v>Vivo</v>
          </cell>
          <cell r="I417">
            <v>8.0244105933301721</v>
          </cell>
          <cell r="J417">
            <v>9.7439895768104403</v>
          </cell>
          <cell r="K417">
            <v>10.224863166313092</v>
          </cell>
          <cell r="L417">
            <v>8.9586553656849066</v>
          </cell>
        </row>
        <row r="418">
          <cell r="C418" t="str">
            <v>Televisa</v>
          </cell>
          <cell r="I418">
            <v>1.6226725809076952</v>
          </cell>
          <cell r="J418">
            <v>1.7976154531415951</v>
          </cell>
          <cell r="K418">
            <v>2.0610371760480422</v>
          </cell>
          <cell r="L418">
            <v>2.3384931248783238</v>
          </cell>
        </row>
        <row r="419">
          <cell r="C419" t="str">
            <v>Agg. LatAm Incumbent</v>
          </cell>
          <cell r="I419">
            <v>-7.6888030948365635</v>
          </cell>
          <cell r="J419">
            <v>-8.9927792423190862</v>
          </cell>
          <cell r="K419">
            <v>-10.811629883738789</v>
          </cell>
          <cell r="L419">
            <v>-13.364089827605184</v>
          </cell>
        </row>
        <row r="420">
          <cell r="C420"/>
          <cell r="I420"/>
          <cell r="J420"/>
          <cell r="K420"/>
          <cell r="L420"/>
        </row>
        <row r="421">
          <cell r="C421" t="str">
            <v>China Telecom</v>
          </cell>
          <cell r="I421">
            <v>-267.39313422749888</v>
          </cell>
          <cell r="J421">
            <v>396.19976849941037</v>
          </cell>
          <cell r="K421">
            <v>854.24181339697088</v>
          </cell>
          <cell r="L421">
            <v>1089.5998631003579</v>
          </cell>
        </row>
        <row r="422">
          <cell r="C422" t="str">
            <v>China Unicom</v>
          </cell>
          <cell r="I422">
            <v>-33.96883682897797</v>
          </cell>
          <cell r="J422">
            <v>-26.170885952777468</v>
          </cell>
          <cell r="K422">
            <v>-21.5177640499147</v>
          </cell>
          <cell r="L422">
            <v>-16.16714837900189</v>
          </cell>
        </row>
        <row r="423">
          <cell r="C423" t="str">
            <v>KT Corp</v>
          </cell>
          <cell r="I423">
            <v>-23.698344857816096</v>
          </cell>
          <cell r="J423">
            <v>-60.708525984547997</v>
          </cell>
          <cell r="K423">
            <v>143.55892264715186</v>
          </cell>
          <cell r="L423">
            <v>35.359478432012182</v>
          </cell>
        </row>
        <row r="424">
          <cell r="C424" t="str">
            <v>Telkom Indonesia</v>
          </cell>
          <cell r="I424">
            <v>11.052297316184282</v>
          </cell>
          <cell r="J424">
            <v>8.4031296822126098</v>
          </cell>
          <cell r="K424">
            <v>8.3029649067775093</v>
          </cell>
          <cell r="L424">
            <v>8.4908795516619495</v>
          </cell>
        </row>
        <row r="425">
          <cell r="C425" t="str">
            <v>Agg. Emerging Asia Incumbent</v>
          </cell>
          <cell r="I425">
            <v>-503.95296622953862</v>
          </cell>
          <cell r="J425">
            <v>219.86677094737476</v>
          </cell>
          <cell r="K425">
            <v>280.58569716771939</v>
          </cell>
          <cell r="L425">
            <v>73249.205035525214</v>
          </cell>
        </row>
        <row r="426">
          <cell r="C426"/>
          <cell r="I426"/>
          <cell r="J426"/>
          <cell r="K426"/>
          <cell r="L426"/>
        </row>
        <row r="427">
          <cell r="C427" t="str">
            <v>Agg. Emerging Incumbent</v>
          </cell>
          <cell r="I427">
            <v>-17.07296115427091</v>
          </cell>
          <cell r="J427">
            <v>-21.68033247483276</v>
          </cell>
          <cell r="K427">
            <v>-26.501528813279208</v>
          </cell>
          <cell r="L427">
            <v>-31.275867995062509</v>
          </cell>
        </row>
        <row r="428">
          <cell r="C428"/>
          <cell r="I428"/>
          <cell r="J428"/>
          <cell r="K428"/>
          <cell r="L428"/>
        </row>
        <row r="429">
          <cell r="C429" t="str">
            <v>Airtel Africa</v>
          </cell>
          <cell r="I429">
            <v>1.6360624628777518</v>
          </cell>
          <cell r="J429">
            <v>2.0501108083324731</v>
          </cell>
          <cell r="K429">
            <v>2.9092602589095602</v>
          </cell>
          <cell r="L429">
            <v>3.9693970756190176</v>
          </cell>
        </row>
        <row r="430">
          <cell r="C430" t="str">
            <v>MTN</v>
          </cell>
          <cell r="I430">
            <v>-2.0478175324212753</v>
          </cell>
          <cell r="J430">
            <v>-2.4743747318508271</v>
          </cell>
          <cell r="K430">
            <v>-3.0981078232487884</v>
          </cell>
          <cell r="L430">
            <v>-3.652482107503586</v>
          </cell>
        </row>
        <row r="431">
          <cell r="C431" t="str">
            <v>Safaricom</v>
          </cell>
          <cell r="I431">
            <v>6.4999472550008104</v>
          </cell>
          <cell r="J431">
            <v>7.4653265897913181</v>
          </cell>
          <cell r="K431">
            <v>8.1577945755770322</v>
          </cell>
          <cell r="L431">
            <v>9.06308787338393</v>
          </cell>
        </row>
        <row r="432">
          <cell r="C432" t="str">
            <v>VEON</v>
          </cell>
          <cell r="I432">
            <v>-2.691880582691669</v>
          </cell>
          <cell r="J432">
            <v>-3.4796985968520278</v>
          </cell>
          <cell r="K432">
            <v>-4.3822696612016747</v>
          </cell>
          <cell r="L432">
            <v>-5.6648248110534025</v>
          </cell>
        </row>
        <row r="433">
          <cell r="C433" t="str">
            <v>Vodacom</v>
          </cell>
          <cell r="I433">
            <v>-3.5194770890184461</v>
          </cell>
          <cell r="J433">
            <v>-4.0518104938666886</v>
          </cell>
          <cell r="K433">
            <v>-5.0713561445316211</v>
          </cell>
          <cell r="L433">
            <v>-6.1404905630852866</v>
          </cell>
        </row>
        <row r="434">
          <cell r="C434" t="str">
            <v>Agg. EMEA Cellular</v>
          </cell>
          <cell r="I434">
            <v>-7.873618801586856</v>
          </cell>
          <cell r="J434">
            <v>-8.8105423087037487</v>
          </cell>
          <cell r="K434">
            <v>-10.318998048888801</v>
          </cell>
          <cell r="L434">
            <v>-11.481725340126191</v>
          </cell>
        </row>
        <row r="435">
          <cell r="C435"/>
          <cell r="I435"/>
          <cell r="J435"/>
          <cell r="K435"/>
          <cell r="L435"/>
        </row>
        <row r="436">
          <cell r="C436" t="str">
            <v>Entel</v>
          </cell>
          <cell r="I436">
            <v>0.72459474169466387</v>
          </cell>
          <cell r="J436">
            <v>1.2116389292644849</v>
          </cell>
          <cell r="K436">
            <v>1.5272671967366229</v>
          </cell>
          <cell r="L436">
            <v>1.8819866133455068</v>
          </cell>
        </row>
        <row r="437">
          <cell r="C437" t="str">
            <v>Millicom</v>
          </cell>
          <cell r="I437">
            <v>2.6019714432242536</v>
          </cell>
          <cell r="J437">
            <v>2.6125269924594803</v>
          </cell>
          <cell r="K437">
            <v>2.6166203110403918</v>
          </cell>
          <cell r="L437">
            <v>2.6574336794706901</v>
          </cell>
        </row>
        <row r="438">
          <cell r="C438" t="str">
            <v>TIM Participacoes</v>
          </cell>
          <cell r="I438">
            <v>4.6871166716093668</v>
          </cell>
          <cell r="J438">
            <v>5.280856607171093</v>
          </cell>
          <cell r="K438">
            <v>6.4376272597426611</v>
          </cell>
          <cell r="L438">
            <v>7.2496909316629852</v>
          </cell>
        </row>
        <row r="439">
          <cell r="C439" t="str">
            <v>Megacable</v>
          </cell>
          <cell r="I439">
            <v>-3.9980148731378899</v>
          </cell>
          <cell r="J439">
            <v>-5.8431066809111405</v>
          </cell>
          <cell r="K439">
            <v>-8.7955695121692496</v>
          </cell>
          <cell r="L439">
            <v>-14.613202770652745</v>
          </cell>
        </row>
        <row r="440">
          <cell r="C440" t="str">
            <v>LiLAC</v>
          </cell>
          <cell r="I440">
            <v>1.6678180232846127</v>
          </cell>
          <cell r="J440">
            <v>2.0791809138676571</v>
          </cell>
          <cell r="K440">
            <v>2.275906973038321</v>
          </cell>
          <cell r="L440">
            <v>2.383867166285718</v>
          </cell>
        </row>
        <row r="441">
          <cell r="C441" t="str">
            <v>Agg. LatAm Other</v>
          </cell>
          <cell r="I441">
            <v>2.8572926320541336</v>
          </cell>
          <cell r="J441">
            <v>3.2707784539017966</v>
          </cell>
          <cell r="K441">
            <v>3.5829074458100747</v>
          </cell>
          <cell r="L441">
            <v>3.8095019093777998</v>
          </cell>
        </row>
        <row r="442">
          <cell r="C442"/>
          <cell r="I442"/>
          <cell r="J442"/>
          <cell r="K442"/>
          <cell r="L442"/>
        </row>
        <row r="443">
          <cell r="C443" t="str">
            <v>AIS</v>
          </cell>
          <cell r="I443">
            <v>10.598540262427932</v>
          </cell>
          <cell r="J443">
            <v>12.452409944429192</v>
          </cell>
          <cell r="K443">
            <v>11.658259124650755</v>
          </cell>
          <cell r="L443">
            <v>14.175686466085777</v>
          </cell>
        </row>
        <row r="444">
          <cell r="C444" t="str">
            <v>Axiata</v>
          </cell>
          <cell r="I444">
            <v>-2.2700534759358288</v>
          </cell>
          <cell r="J444">
            <v>-2.4939965694682678</v>
          </cell>
          <cell r="K444">
            <v>-2.9973214285714285</v>
          </cell>
          <cell r="L444">
            <v>-3.3600764087870103</v>
          </cell>
        </row>
        <row r="445">
          <cell r="C445" t="str">
            <v>Bharti Airtel</v>
          </cell>
          <cell r="I445">
            <v>3.436289562858442</v>
          </cell>
          <cell r="J445">
            <v>4.4659473973388542</v>
          </cell>
          <cell r="K445">
            <v>5.7426988260671523</v>
          </cell>
          <cell r="L445">
            <v>7.2836656690709187</v>
          </cell>
        </row>
        <row r="446">
          <cell r="C446" t="str">
            <v>China Mobile</v>
          </cell>
          <cell r="I446">
            <v>10.732302125862935</v>
          </cell>
          <cell r="J446">
            <v>13.058304927804267</v>
          </cell>
          <cell r="K446">
            <v>16.109333062248137</v>
          </cell>
          <cell r="L446">
            <v>22.147659173147932</v>
          </cell>
        </row>
        <row r="447">
          <cell r="C447" t="str">
            <v>CelcomDigi</v>
          </cell>
          <cell r="I447">
            <v>6.5929539526621621</v>
          </cell>
          <cell r="J447">
            <v>7.440313506626703</v>
          </cell>
          <cell r="K447">
            <v>8.857100088783687</v>
          </cell>
          <cell r="L447">
            <v>10.307997078420625</v>
          </cell>
        </row>
        <row r="448">
          <cell r="C448" t="str">
            <v>Vodafone IDEA</v>
          </cell>
          <cell r="I448">
            <v>8.2176903227062573E-2</v>
          </cell>
          <cell r="J448">
            <v>0.19291046399816691</v>
          </cell>
          <cell r="K448">
            <v>0.24694717223633372</v>
          </cell>
          <cell r="L448">
            <v>0.35249953905019121</v>
          </cell>
        </row>
        <row r="449">
          <cell r="C449" t="str">
            <v>Indosat</v>
          </cell>
          <cell r="I449">
            <v>3.2569922054103624</v>
          </cell>
          <cell r="J449">
            <v>3.6435185185185186</v>
          </cell>
          <cell r="K449">
            <v>3.7601970443349755</v>
          </cell>
          <cell r="L449">
            <v>4.1018095048717438</v>
          </cell>
        </row>
        <row r="450">
          <cell r="C450" t="str">
            <v>LG Uplus</v>
          </cell>
          <cell r="I450">
            <v>9.1461342123202609</v>
          </cell>
          <cell r="J450">
            <v>10.4828782324507</v>
          </cell>
          <cell r="K450">
            <v>12.393692066359263</v>
          </cell>
          <cell r="L450">
            <v>14.925839368708669</v>
          </cell>
        </row>
        <row r="451">
          <cell r="C451" t="str">
            <v>Maxis</v>
          </cell>
          <cell r="I451">
            <v>-6.8511165290179497</v>
          </cell>
          <cell r="J451">
            <v>-7.5103108064303932</v>
          </cell>
          <cell r="K451">
            <v>-8.1768598996858408</v>
          </cell>
          <cell r="L451">
            <v>-8.8393832493153788</v>
          </cell>
        </row>
        <row r="452">
          <cell r="C452" t="str">
            <v>SK Telecom</v>
          </cell>
          <cell r="I452">
            <v>7.0775872192358991</v>
          </cell>
          <cell r="J452">
            <v>8.5867384315852249</v>
          </cell>
          <cell r="K452">
            <v>10.5165046404941</v>
          </cell>
          <cell r="L452">
            <v>13.679920698891205</v>
          </cell>
        </row>
        <row r="453">
          <cell r="C453" t="str">
            <v>True Corp</v>
          </cell>
          <cell r="I453">
            <v>3.1223310034224738</v>
          </cell>
          <cell r="J453">
            <v>3.6741716200201098</v>
          </cell>
          <cell r="K453">
            <v>4.1577789360779702</v>
          </cell>
          <cell r="L453">
            <v>4.7035019728335019</v>
          </cell>
        </row>
        <row r="454">
          <cell r="C454" t="str">
            <v>XL Axiata</v>
          </cell>
          <cell r="I454">
            <v>0.59632007220467997</v>
          </cell>
          <cell r="J454">
            <v>-2.8333131906787288</v>
          </cell>
          <cell r="K454">
            <v>-2.8875218933535214</v>
          </cell>
          <cell r="L454">
            <v>-3.4117234656785751</v>
          </cell>
        </row>
        <row r="455">
          <cell r="C455" t="str">
            <v>Agg. Emerging Asia Cellular</v>
          </cell>
          <cell r="I455">
            <v>5.1860958416860905</v>
          </cell>
          <cell r="J455">
            <v>5.9967872307705665</v>
          </cell>
          <cell r="K455">
            <v>6.6907090808291789</v>
          </cell>
          <cell r="L455">
            <v>7.6019283668777167</v>
          </cell>
        </row>
        <row r="456">
          <cell r="C456"/>
          <cell r="I456"/>
          <cell r="J456"/>
          <cell r="K456"/>
          <cell r="L456"/>
        </row>
        <row r="457">
          <cell r="C457" t="str">
            <v>Agg. Emerging  Cellular</v>
          </cell>
          <cell r="I457">
            <v>5.9066121227185091</v>
          </cell>
          <cell r="J457">
            <v>6.9709449037400644</v>
          </cell>
          <cell r="K457">
            <v>7.9151502852823734</v>
          </cell>
          <cell r="L457">
            <v>9.0527753254261647</v>
          </cell>
        </row>
        <row r="458">
          <cell r="C458"/>
          <cell r="I458"/>
          <cell r="J458"/>
          <cell r="K458"/>
          <cell r="L458"/>
        </row>
        <row r="459">
          <cell r="C459" t="str">
            <v>Agg. EMEA sector</v>
          </cell>
          <cell r="I459">
            <v>-7.873618801586856</v>
          </cell>
          <cell r="J459">
            <v>-8.8105423087037487</v>
          </cell>
          <cell r="K459">
            <v>-10.318998048888801</v>
          </cell>
          <cell r="L459">
            <v>-11.481725340126191</v>
          </cell>
        </row>
        <row r="460">
          <cell r="C460" t="str">
            <v>Agg. LatAm sector</v>
          </cell>
          <cell r="I460">
            <v>-58.991849696040987</v>
          </cell>
          <cell r="J460">
            <v>-79.532992710040034</v>
          </cell>
          <cell r="K460">
            <v>-469.1677668695807</v>
          </cell>
          <cell r="L460">
            <v>126.1198667380843</v>
          </cell>
        </row>
        <row r="461">
          <cell r="C461" t="str">
            <v>Agg. Emerging Asia sector</v>
          </cell>
          <cell r="I461">
            <v>7.3775085799286613</v>
          </cell>
          <cell r="J461">
            <v>8.3876525263608617</v>
          </cell>
          <cell r="K461">
            <v>9.3675399563778061</v>
          </cell>
          <cell r="L461">
            <v>10.730250249930917</v>
          </cell>
        </row>
        <row r="462">
          <cell r="C462"/>
          <cell r="I462"/>
          <cell r="J462"/>
          <cell r="K462"/>
          <cell r="L462"/>
        </row>
        <row r="463">
          <cell r="C463" t="str">
            <v>Agg. Global EM sector</v>
          </cell>
          <cell r="I463">
            <v>11.92966546537593</v>
          </cell>
          <cell r="J463">
            <v>13.650670390234385</v>
          </cell>
          <cell r="K463">
            <v>14.984945140960804</v>
          </cell>
          <cell r="L463">
            <v>16.855074655934065</v>
          </cell>
        </row>
        <row r="464">
          <cell r="C464"/>
          <cell r="I464"/>
          <cell r="J464"/>
          <cell r="K464"/>
          <cell r="L464"/>
        </row>
        <row r="465">
          <cell r="C465"/>
          <cell r="I465"/>
          <cell r="J465"/>
          <cell r="K465"/>
          <cell r="L465"/>
        </row>
        <row r="466">
          <cell r="C466"/>
          <cell r="I466" t="str">
            <v>Dividends as % of normalised EFCF</v>
          </cell>
          <cell r="J466"/>
          <cell r="K466"/>
          <cell r="L466"/>
        </row>
        <row r="467">
          <cell r="C467" t="str">
            <v>America Movil</v>
          </cell>
          <cell r="I467">
            <v>0.26629219813680421</v>
          </cell>
          <cell r="J467">
            <v>0.2982022702977068</v>
          </cell>
          <cell r="K467">
            <v>0.30959436970633852</v>
          </cell>
          <cell r="L467">
            <v>0.30117623265036064</v>
          </cell>
        </row>
        <row r="468">
          <cell r="C468" t="str">
            <v>Vivo</v>
          </cell>
          <cell r="I468">
            <v>0.49440372017983708</v>
          </cell>
          <cell r="J468">
            <v>0.71854524390862562</v>
          </cell>
          <cell r="K468">
            <v>0.70131095896729478</v>
          </cell>
          <cell r="L468">
            <v>0.72082261375254297</v>
          </cell>
        </row>
        <row r="469">
          <cell r="C469" t="str">
            <v>Televisa</v>
          </cell>
          <cell r="I469">
            <v>0.56566637147074961</v>
          </cell>
          <cell r="J469">
            <v>0.31304366533554628</v>
          </cell>
          <cell r="K469">
            <v>0.19467920863169585</v>
          </cell>
          <cell r="L469">
            <v>0.14394783734969654</v>
          </cell>
        </row>
        <row r="470">
          <cell r="C470" t="str">
            <v>Agg. LatAm Incumbent</v>
          </cell>
          <cell r="I470">
            <v>0.31654400371087049</v>
          </cell>
          <cell r="J470">
            <v>0.39019293673194128</v>
          </cell>
          <cell r="K470">
            <v>0.40161731678629303</v>
          </cell>
          <cell r="L470">
            <v>0.39872178820871879</v>
          </cell>
        </row>
        <row r="471">
          <cell r="C471"/>
          <cell r="I471"/>
          <cell r="J471"/>
          <cell r="K471"/>
          <cell r="L471"/>
        </row>
        <row r="472">
          <cell r="C472" t="str">
            <v>China Telecom</v>
          </cell>
          <cell r="I472">
            <v>0.75391188951500154</v>
          </cell>
          <cell r="J472">
            <v>0.6649012193326348</v>
          </cell>
          <cell r="K472">
            <v>0.6554415989393908</v>
          </cell>
          <cell r="L472">
            <v>0.6411576225793314</v>
          </cell>
        </row>
        <row r="473">
          <cell r="C473" t="str">
            <v>China Unicom</v>
          </cell>
          <cell r="I473">
            <v>0.41783906017465039</v>
          </cell>
          <cell r="J473">
            <v>0.46478971043303613</v>
          </cell>
          <cell r="K473">
            <v>0.4829662398995927</v>
          </cell>
          <cell r="L473">
            <v>0.53946750306586899</v>
          </cell>
        </row>
        <row r="474">
          <cell r="C474" t="str">
            <v>KT Corp</v>
          </cell>
          <cell r="I474">
            <v>0.24790289361185283</v>
          </cell>
          <cell r="J474">
            <v>0.27278835650964145</v>
          </cell>
          <cell r="K474">
            <v>0.29394550101028705</v>
          </cell>
          <cell r="L474">
            <v>0.29224587823549009</v>
          </cell>
        </row>
        <row r="475">
          <cell r="C475" t="str">
            <v>Telkom Indonesia</v>
          </cell>
          <cell r="I475">
            <v>1.1682186426069434</v>
          </cell>
          <cell r="J475">
            <v>1.2559340592734871</v>
          </cell>
          <cell r="K475">
            <v>1.2827193144109028</v>
          </cell>
          <cell r="L475">
            <v>1.3224070025038388</v>
          </cell>
        </row>
        <row r="476">
          <cell r="C476" t="str">
            <v>Agg. Emerging Asia Incumbent</v>
          </cell>
          <cell r="I476">
            <v>0.59390125375381209</v>
          </cell>
          <cell r="J476">
            <v>0.5891284137913777</v>
          </cell>
          <cell r="K476">
            <v>0.59250681889795909</v>
          </cell>
          <cell r="L476">
            <v>0.60754890882703927</v>
          </cell>
        </row>
        <row r="477">
          <cell r="C477"/>
          <cell r="I477"/>
          <cell r="J477"/>
          <cell r="K477"/>
          <cell r="L477"/>
        </row>
        <row r="478">
          <cell r="C478" t="str">
            <v>Agg. Emerging Incumbent</v>
          </cell>
          <cell r="I478">
            <v>0.48718956657101198</v>
          </cell>
          <cell r="J478">
            <v>0.51394210985072053</v>
          </cell>
          <cell r="K478">
            <v>0.52025806743319358</v>
          </cell>
          <cell r="L478">
            <v>0.52723606342298024</v>
          </cell>
        </row>
        <row r="479">
          <cell r="C479"/>
          <cell r="I479"/>
          <cell r="J479"/>
          <cell r="K479"/>
          <cell r="L479"/>
        </row>
        <row r="480">
          <cell r="C480" t="str">
            <v>Airtel Africa</v>
          </cell>
          <cell r="I480">
            <v>0.43220660501079233</v>
          </cell>
          <cell r="J480">
            <v>0.38086592659672985</v>
          </cell>
          <cell r="K480">
            <v>0.32449039261861462</v>
          </cell>
          <cell r="L480">
            <v>0.33682856217663587</v>
          </cell>
        </row>
        <row r="481">
          <cell r="C481" t="str">
            <v>MTN</v>
          </cell>
          <cell r="I481">
            <v>6.2962080801936731</v>
          </cell>
          <cell r="J481">
            <v>3.7940513874413537</v>
          </cell>
          <cell r="K481">
            <v>1.2327225805395725</v>
          </cell>
          <cell r="L481">
            <v>1.0070593581524452</v>
          </cell>
        </row>
        <row r="482">
          <cell r="C482" t="str">
            <v>Safaricom</v>
          </cell>
          <cell r="I482">
            <v>0.77070585276176917</v>
          </cell>
          <cell r="J482">
            <v>0.72997375135104303</v>
          </cell>
          <cell r="K482">
            <v>0.69807598057410825</v>
          </cell>
          <cell r="L482">
            <v>0.6862010853608923</v>
          </cell>
        </row>
        <row r="483">
          <cell r="C483" t="str">
            <v>VEON</v>
          </cell>
          <cell r="I483">
            <v>0</v>
          </cell>
          <cell r="J483">
            <v>0</v>
          </cell>
          <cell r="K483">
            <v>0</v>
          </cell>
          <cell r="L483">
            <v>0</v>
          </cell>
        </row>
        <row r="484">
          <cell r="C484" t="str">
            <v>Vodacom</v>
          </cell>
          <cell r="I484">
            <v>0.81494396093069488</v>
          </cell>
          <cell r="J484">
            <v>0.92857413484564388</v>
          </cell>
          <cell r="K484">
            <v>0.9580525498882293</v>
          </cell>
          <cell r="L484">
            <v>0.9898323083703533</v>
          </cell>
        </row>
        <row r="485">
          <cell r="C485" t="str">
            <v>Agg. EMEA Cellular</v>
          </cell>
          <cell r="I485">
            <v>0.81365988777208798</v>
          </cell>
          <cell r="J485">
            <v>0.76519020689319872</v>
          </cell>
          <cell r="K485">
            <v>0.68646194206453393</v>
          </cell>
          <cell r="L485">
            <v>0.67909477796620943</v>
          </cell>
        </row>
        <row r="486">
          <cell r="C486"/>
          <cell r="I486"/>
          <cell r="J486"/>
          <cell r="K486"/>
          <cell r="L486"/>
        </row>
        <row r="487">
          <cell r="C487" t="str">
            <v>Entel</v>
          </cell>
          <cell r="I487">
            <v>-0.72916363322855049</v>
          </cell>
          <cell r="J487">
            <v>-2.0959565480200331</v>
          </cell>
          <cell r="K487">
            <v>57.27100944492534</v>
          </cell>
          <cell r="L487">
            <v>1.4841658997670542</v>
          </cell>
        </row>
        <row r="488">
          <cell r="C488" t="str">
            <v>Millicom</v>
          </cell>
          <cell r="I488">
            <v>0.93951278655130221</v>
          </cell>
          <cell r="J488">
            <v>0.69111164736755237</v>
          </cell>
          <cell r="K488">
            <v>0.68407242252134748</v>
          </cell>
          <cell r="L488">
            <v>0.68647058987223597</v>
          </cell>
        </row>
        <row r="489">
          <cell r="C489" t="str">
            <v>TIM Participacoes</v>
          </cell>
          <cell r="I489">
            <v>0.83976299604845639</v>
          </cell>
          <cell r="J489">
            <v>0.77146236463762907</v>
          </cell>
          <cell r="K489">
            <v>0.77466647398694211</v>
          </cell>
          <cell r="L489">
            <v>0.71339431344407478</v>
          </cell>
        </row>
        <row r="490">
          <cell r="C490" t="str">
            <v>Megacable</v>
          </cell>
          <cell r="I490">
            <v>1.764706309359181</v>
          </cell>
          <cell r="J490">
            <v>1.1867947051805332</v>
          </cell>
          <cell r="K490">
            <v>0.88379345067483839</v>
          </cell>
          <cell r="L490">
            <v>0.75514923258562572</v>
          </cell>
        </row>
        <row r="491">
          <cell r="C491" t="str">
            <v>LiLAC</v>
          </cell>
          <cell r="I491">
            <v>0</v>
          </cell>
          <cell r="J491">
            <v>0</v>
          </cell>
          <cell r="K491">
            <v>0</v>
          </cell>
          <cell r="L491">
            <v>0</v>
          </cell>
        </row>
        <row r="492">
          <cell r="C492" t="str">
            <v>Agg. LatAm Other</v>
          </cell>
          <cell r="I492">
            <v>0.92751261307272415</v>
          </cell>
          <cell r="J492">
            <v>0.70763872272589767</v>
          </cell>
          <cell r="K492">
            <v>0.6762700113442015</v>
          </cell>
          <cell r="L492">
            <v>0.62928962440612302</v>
          </cell>
        </row>
        <row r="493">
          <cell r="C493"/>
          <cell r="I493"/>
          <cell r="J493"/>
          <cell r="K493"/>
          <cell r="L493"/>
        </row>
        <row r="494">
          <cell r="C494" t="str">
            <v>AIS</v>
          </cell>
          <cell r="I494">
            <v>0.85834798499427034</v>
          </cell>
          <cell r="J494">
            <v>0.7564186879751823</v>
          </cell>
          <cell r="K494">
            <v>0.78531143775797962</v>
          </cell>
          <cell r="L494">
            <v>0.80984011877326023</v>
          </cell>
        </row>
        <row r="495">
          <cell r="C495" t="str">
            <v>Axiata</v>
          </cell>
          <cell r="I495">
            <v>1.6073426573426575</v>
          </cell>
          <cell r="J495">
            <v>1.2965897435897435</v>
          </cell>
          <cell r="K495">
            <v>0.77098532494758909</v>
          </cell>
          <cell r="L495">
            <v>0.68730304772857964</v>
          </cell>
        </row>
        <row r="496">
          <cell r="C496" t="str">
            <v>Bharti Airtel</v>
          </cell>
          <cell r="I496">
            <v>0.34841967660067585</v>
          </cell>
          <cell r="J496">
            <v>0.44540761453992983</v>
          </cell>
          <cell r="K496">
            <v>0.51213429226284557</v>
          </cell>
          <cell r="L496">
            <v>0.56663682503587942</v>
          </cell>
        </row>
        <row r="497">
          <cell r="C497" t="str">
            <v>China Mobile</v>
          </cell>
          <cell r="I497">
            <v>0.81178228743858916</v>
          </cell>
          <cell r="J497">
            <v>0.8157659208703808</v>
          </cell>
          <cell r="K497">
            <v>0.8284551801353488</v>
          </cell>
          <cell r="L497">
            <v>0.84085252869623506</v>
          </cell>
        </row>
        <row r="498">
          <cell r="C498" t="str">
            <v>CelcomDigi</v>
          </cell>
          <cell r="I498">
            <v>0.84741566144848357</v>
          </cell>
          <cell r="J498">
            <v>0.7781042669367475</v>
          </cell>
          <cell r="K498">
            <v>0.71949950904891335</v>
          </cell>
          <cell r="L498">
            <v>0.76157729191772194</v>
          </cell>
        </row>
        <row r="499">
          <cell r="C499" t="str">
            <v>Vodafone IDEA</v>
          </cell>
          <cell r="I499">
            <v>0</v>
          </cell>
          <cell r="J499">
            <v>0</v>
          </cell>
          <cell r="K499">
            <v>0</v>
          </cell>
          <cell r="L499">
            <v>0</v>
          </cell>
        </row>
        <row r="500">
          <cell r="C500" t="str">
            <v>Indosat</v>
          </cell>
          <cell r="I500">
            <v>1.2782177215189874</v>
          </cell>
          <cell r="J500">
            <v>0.94672811059907835</v>
          </cell>
          <cell r="K500">
            <v>1.0813057471264369</v>
          </cell>
          <cell r="L500">
            <v>1.0642221790638959</v>
          </cell>
        </row>
        <row r="501">
          <cell r="C501" t="str">
            <v>LG Uplus</v>
          </cell>
          <cell r="I501">
            <v>0.38057863350899129</v>
          </cell>
          <cell r="J501">
            <v>0.40134646814910868</v>
          </cell>
          <cell r="K501">
            <v>0.41020544284089649</v>
          </cell>
          <cell r="L501">
            <v>0.43966533838956623</v>
          </cell>
        </row>
        <row r="502">
          <cell r="C502" t="str">
            <v>Maxis</v>
          </cell>
          <cell r="I502">
            <v>0.82022215600626336</v>
          </cell>
          <cell r="J502">
            <v>0.85506471427058162</v>
          </cell>
          <cell r="K502">
            <v>0.90029840692272423</v>
          </cell>
          <cell r="L502">
            <v>0.92959235432476917</v>
          </cell>
        </row>
        <row r="503">
          <cell r="C503" t="str">
            <v>SK Telecom</v>
          </cell>
          <cell r="I503">
            <v>0.54490597531310958</v>
          </cell>
          <cell r="J503">
            <v>0.4463083725773852</v>
          </cell>
          <cell r="K503">
            <v>0.42653059729863602</v>
          </cell>
          <cell r="L503">
            <v>0.40778169492975663</v>
          </cell>
        </row>
        <row r="504">
          <cell r="C504" t="str">
            <v>True Corp</v>
          </cell>
          <cell r="I504">
            <v>0.3198593021326252</v>
          </cell>
          <cell r="J504">
            <v>0.32617516312608652</v>
          </cell>
          <cell r="K504">
            <v>0.48058778298140287</v>
          </cell>
          <cell r="L504">
            <v>0.56358418363315566</v>
          </cell>
        </row>
        <row r="505">
          <cell r="C505" t="str">
            <v>XL Axiata</v>
          </cell>
          <cell r="I505">
            <v>0</v>
          </cell>
          <cell r="J505">
            <v>0</v>
          </cell>
          <cell r="K505">
            <v>1.1396153520906769</v>
          </cell>
          <cell r="L505">
            <v>1.0464723344772404</v>
          </cell>
        </row>
        <row r="506">
          <cell r="C506" t="str">
            <v>Agg. Emerging Asia Cellular</v>
          </cell>
          <cell r="I506">
            <v>0.86271515425815037</v>
          </cell>
          <cell r="J506">
            <v>0.81155869700696015</v>
          </cell>
          <cell r="K506">
            <v>0.82405965785906488</v>
          </cell>
          <cell r="L506">
            <v>0.83263442341985117</v>
          </cell>
        </row>
        <row r="507">
          <cell r="C507"/>
          <cell r="I507"/>
          <cell r="J507"/>
          <cell r="K507"/>
          <cell r="L507"/>
        </row>
        <row r="508">
          <cell r="C508" t="str">
            <v>Agg. Emerging  Cellular</v>
          </cell>
          <cell r="I508">
            <v>0.86259177622528349</v>
          </cell>
          <cell r="J508">
            <v>0.79980557621485693</v>
          </cell>
          <cell r="K508">
            <v>0.79735604648490133</v>
          </cell>
          <cell r="L508">
            <v>0.79858394221021001</v>
          </cell>
        </row>
        <row r="509">
          <cell r="C509"/>
          <cell r="I509"/>
          <cell r="J509"/>
          <cell r="K509"/>
          <cell r="L509"/>
        </row>
        <row r="510">
          <cell r="C510" t="str">
            <v>Agg. EMEA sector</v>
          </cell>
          <cell r="I510">
            <v>0.81365988777208798</v>
          </cell>
          <cell r="J510">
            <v>0.76519020689319872</v>
          </cell>
          <cell r="K510">
            <v>0.68646194206453393</v>
          </cell>
          <cell r="L510">
            <v>0.67909477796620943</v>
          </cell>
        </row>
        <row r="511">
          <cell r="C511" t="str">
            <v>Agg. LatAm sector</v>
          </cell>
          <cell r="I511">
            <v>0.43429386292583927</v>
          </cell>
          <cell r="J511">
            <v>0.45855688704091863</v>
          </cell>
          <cell r="K511">
            <v>0.46359444350506857</v>
          </cell>
          <cell r="L511">
            <v>0.45112378884162652</v>
          </cell>
        </row>
        <row r="512">
          <cell r="C512" t="str">
            <v>Agg. Emerging Asia sector</v>
          </cell>
          <cell r="I512">
            <v>0.7702341453801701</v>
          </cell>
          <cell r="J512">
            <v>0.73724394527519432</v>
          </cell>
          <cell r="K512">
            <v>0.74687058767449221</v>
          </cell>
          <cell r="L512">
            <v>0.75820805101978783</v>
          </cell>
        </row>
        <row r="513">
          <cell r="C513"/>
          <cell r="I513"/>
          <cell r="J513"/>
          <cell r="K513"/>
          <cell r="L513"/>
        </row>
        <row r="514">
          <cell r="C514" t="str">
            <v>Agg. Global EM sector</v>
          </cell>
          <cell r="I514">
            <v>0.70550532500167307</v>
          </cell>
          <cell r="J514">
            <v>0.68492282424104123</v>
          </cell>
          <cell r="K514">
            <v>0.68792092124642967</v>
          </cell>
          <cell r="L514">
            <v>0.69232333654861122</v>
          </cell>
        </row>
        <row r="515">
          <cell r="C515"/>
          <cell r="I515"/>
          <cell r="J515"/>
          <cell r="K515"/>
          <cell r="L515"/>
        </row>
        <row r="516">
          <cell r="C516"/>
          <cell r="I516"/>
          <cell r="J516"/>
          <cell r="K516"/>
          <cell r="L516"/>
        </row>
        <row r="517">
          <cell r="C517"/>
          <cell r="I517" t="str">
            <v>Share Buyback as % of Market Cap</v>
          </cell>
          <cell r="J517"/>
          <cell r="K517"/>
          <cell r="L517"/>
        </row>
        <row r="518">
          <cell r="C518" t="str">
            <v>America Movil</v>
          </cell>
          <cell r="I518">
            <v>8.4671070222521513E-3</v>
          </cell>
          <cell r="J518">
            <v>1.8115289075057231E-2</v>
          </cell>
          <cell r="K518">
            <v>1.8643269752051696E-2</v>
          </cell>
          <cell r="L518">
            <v>1.983789993135503E-2</v>
          </cell>
        </row>
        <row r="519">
          <cell r="C519" t="str">
            <v>Vivo</v>
          </cell>
          <cell r="I519">
            <v>1.2215066610606187E-2</v>
          </cell>
          <cell r="J519">
            <v>1.2866021072990402E-2</v>
          </cell>
          <cell r="K519">
            <v>1.3545409070738671E-2</v>
          </cell>
          <cell r="L519">
            <v>1.4255842482606588E-2</v>
          </cell>
        </row>
        <row r="520">
          <cell r="C520" t="str">
            <v>Televisa</v>
          </cell>
          <cell r="I520">
            <v>0</v>
          </cell>
          <cell r="J520">
            <v>0</v>
          </cell>
          <cell r="K520">
            <v>0</v>
          </cell>
          <cell r="L520">
            <v>0</v>
          </cell>
        </row>
        <row r="521">
          <cell r="C521" t="str">
            <v>Agg. LatAm Incumbent</v>
          </cell>
          <cell r="I521">
            <v>9.2344634369688119E-3</v>
          </cell>
          <cell r="J521">
            <v>1.6540413538666515E-2</v>
          </cell>
          <cell r="K521">
            <v>1.7083857595157594E-2</v>
          </cell>
          <cell r="L521">
            <v>1.8127646875749286E-2</v>
          </cell>
        </row>
        <row r="522">
          <cell r="C522"/>
          <cell r="I522"/>
          <cell r="J522"/>
          <cell r="K522"/>
          <cell r="L522"/>
        </row>
        <row r="523">
          <cell r="C523" t="str">
            <v>China Telecom</v>
          </cell>
          <cell r="I523">
            <v>0</v>
          </cell>
          <cell r="J523">
            <v>0</v>
          </cell>
          <cell r="K523">
            <v>0</v>
          </cell>
          <cell r="L523">
            <v>0</v>
          </cell>
        </row>
        <row r="524">
          <cell r="C524" t="str">
            <v>China Unicom</v>
          </cell>
          <cell r="I524">
            <v>0</v>
          </cell>
          <cell r="J524">
            <v>0</v>
          </cell>
          <cell r="K524">
            <v>0</v>
          </cell>
          <cell r="L524">
            <v>0</v>
          </cell>
        </row>
        <row r="525">
          <cell r="C525" t="str">
            <v>KT Corp</v>
          </cell>
          <cell r="I525">
            <v>1.9484072228422061E-2</v>
          </cell>
          <cell r="J525">
            <v>2.7387233568710232E-2</v>
          </cell>
          <cell r="K525">
            <v>2.8170543208686873E-2</v>
          </cell>
          <cell r="L525">
            <v>2.852576864564748E-2</v>
          </cell>
        </row>
        <row r="526">
          <cell r="C526" t="str">
            <v>Telkom Indonesia</v>
          </cell>
          <cell r="I526">
            <v>0</v>
          </cell>
          <cell r="J526">
            <v>0</v>
          </cell>
          <cell r="K526">
            <v>0</v>
          </cell>
          <cell r="L526">
            <v>0</v>
          </cell>
        </row>
        <row r="527">
          <cell r="C527" t="str">
            <v>Agg. Emerging Asia Incumbent</v>
          </cell>
          <cell r="I527">
            <v>1.2366087783082043E-3</v>
          </cell>
          <cell r="J527">
            <v>1.7063136064995826E-3</v>
          </cell>
          <cell r="K527">
            <v>1.7222321097971091E-3</v>
          </cell>
          <cell r="L527">
            <v>1.7105672383370097E-3</v>
          </cell>
        </row>
        <row r="528">
          <cell r="C528"/>
          <cell r="I528"/>
          <cell r="J528"/>
          <cell r="K528"/>
          <cell r="L528"/>
        </row>
        <row r="529">
          <cell r="C529" t="str">
            <v>Agg. Emerging Incumbent</v>
          </cell>
          <cell r="I529">
            <v>4.3798843669249883E-3</v>
          </cell>
          <cell r="J529">
            <v>7.4636477054859851E-3</v>
          </cell>
          <cell r="K529">
            <v>7.6117865161057768E-3</v>
          </cell>
          <cell r="L529">
            <v>7.9278607495828872E-3</v>
          </cell>
        </row>
        <row r="530">
          <cell r="C530"/>
          <cell r="I530"/>
          <cell r="J530"/>
          <cell r="K530"/>
          <cell r="L530"/>
        </row>
        <row r="531">
          <cell r="C531" t="str">
            <v>Airtel Africa</v>
          </cell>
          <cell r="I531">
            <v>1.6262837174360983E-2</v>
          </cell>
          <cell r="J531">
            <v>1.6591840904777951E-2</v>
          </cell>
          <cell r="K531">
            <v>1.6934431253256301E-2</v>
          </cell>
          <cell r="L531">
            <v>1.7291467578361558E-2</v>
          </cell>
        </row>
        <row r="532">
          <cell r="C532" t="str">
            <v>MTN</v>
          </cell>
          <cell r="I532">
            <v>3.9752254528652763E-3</v>
          </cell>
          <cell r="J532">
            <v>3.9753841497414477E-3</v>
          </cell>
          <cell r="K532">
            <v>3.9755428592889519E-3</v>
          </cell>
          <cell r="L532">
            <v>3.9757015815093076E-3</v>
          </cell>
        </row>
        <row r="533">
          <cell r="C533" t="str">
            <v>Safaricom</v>
          </cell>
          <cell r="I533">
            <v>0</v>
          </cell>
          <cell r="J533">
            <v>0</v>
          </cell>
          <cell r="K533">
            <v>0</v>
          </cell>
          <cell r="L533">
            <v>0</v>
          </cell>
        </row>
        <row r="534">
          <cell r="C534" t="str">
            <v>VEON</v>
          </cell>
          <cell r="I534">
            <v>8.3668240660796298E-3</v>
          </cell>
          <cell r="J534">
            <v>9.8420266115166587E-3</v>
          </cell>
          <cell r="K534">
            <v>9.9241050196671211E-3</v>
          </cell>
          <cell r="L534">
            <v>8.5676189123107815E-3</v>
          </cell>
        </row>
        <row r="535">
          <cell r="C535" t="str">
            <v>Vodacom</v>
          </cell>
          <cell r="I535">
            <v>-3.3513095062747696E-2</v>
          </cell>
          <cell r="J535">
            <v>-1.7673983700906832E-3</v>
          </cell>
          <cell r="K535">
            <v>-1.7709639604098497E-3</v>
          </cell>
          <cell r="L535">
            <v>-1.7745439664201973E-3</v>
          </cell>
        </row>
        <row r="536">
          <cell r="C536" t="str">
            <v>Agg. EMEA Cellular</v>
          </cell>
          <cell r="I536">
            <v>-4.7304865553436442E-3</v>
          </cell>
          <cell r="J536">
            <v>4.4760400554237243E-3</v>
          </cell>
          <cell r="K536">
            <v>4.4983029904362426E-3</v>
          </cell>
          <cell r="L536">
            <v>4.4320264500644531E-3</v>
          </cell>
        </row>
        <row r="537">
          <cell r="C537"/>
          <cell r="I537"/>
          <cell r="J537"/>
          <cell r="K537"/>
          <cell r="L537"/>
        </row>
        <row r="538">
          <cell r="C538" t="str">
            <v>Entel</v>
          </cell>
          <cell r="I538">
            <v>0</v>
          </cell>
          <cell r="J538">
            <v>0</v>
          </cell>
          <cell r="K538">
            <v>0</v>
          </cell>
          <cell r="L538">
            <v>0</v>
          </cell>
        </row>
        <row r="539">
          <cell r="C539" t="str">
            <v>Millicom</v>
          </cell>
          <cell r="I539">
            <v>1.8323346222067154E-2</v>
          </cell>
          <cell r="J539">
            <v>1.8920230362186471E-2</v>
          </cell>
          <cell r="K539">
            <v>1.9279235660639125E-2</v>
          </cell>
          <cell r="L539">
            <v>1.9652128491178113E-2</v>
          </cell>
        </row>
        <row r="540">
          <cell r="C540" t="str">
            <v>TIM Participacoes</v>
          </cell>
          <cell r="I540">
            <v>3.1477955222299479E-2</v>
          </cell>
          <cell r="J540">
            <v>3.2307561066516992E-2</v>
          </cell>
          <cell r="K540">
            <v>3.3182079336409993E-2</v>
          </cell>
          <cell r="L540">
            <v>3.4105258641718809E-2</v>
          </cell>
        </row>
        <row r="541">
          <cell r="C541" t="str">
            <v>Megacable</v>
          </cell>
          <cell r="I541">
            <v>0</v>
          </cell>
          <cell r="J541">
            <v>0</v>
          </cell>
          <cell r="K541">
            <v>0</v>
          </cell>
          <cell r="L541">
            <v>0</v>
          </cell>
        </row>
        <row r="542">
          <cell r="C542" t="str">
            <v>LiLAC</v>
          </cell>
          <cell r="I542">
            <v>-9.7494092449499734E-2</v>
          </cell>
          <cell r="J542">
            <v>-0.1843965982130131</v>
          </cell>
          <cell r="K542">
            <v>-0.23243545600077661</v>
          </cell>
          <cell r="L542">
            <v>-0.28887977206536919</v>
          </cell>
        </row>
        <row r="543">
          <cell r="C543" t="str">
            <v>Agg. LatAm Other</v>
          </cell>
          <cell r="I543">
            <v>8.501954674389885E-3</v>
          </cell>
          <cell r="J543">
            <v>1.446158040397977E-3</v>
          </cell>
          <cell r="K543">
            <v>-2.2316039063898989E-3</v>
          </cell>
          <cell r="L543">
            <v>-6.5357256547300974E-3</v>
          </cell>
        </row>
        <row r="544">
          <cell r="C544"/>
          <cell r="I544"/>
          <cell r="J544"/>
          <cell r="K544"/>
          <cell r="L544"/>
        </row>
        <row r="545">
          <cell r="C545" t="str">
            <v>AIS</v>
          </cell>
          <cell r="I545">
            <v>0</v>
          </cell>
          <cell r="J545">
            <v>0</v>
          </cell>
          <cell r="K545">
            <v>0</v>
          </cell>
          <cell r="L545">
            <v>0</v>
          </cell>
        </row>
        <row r="546">
          <cell r="C546" t="str">
            <v>Axiata</v>
          </cell>
          <cell r="I546">
            <v>2.8796056962224457E-2</v>
          </cell>
          <cell r="J546">
            <v>2.2420084870733367E-2</v>
          </cell>
          <cell r="K546">
            <v>2.4837120042671166E-2</v>
          </cell>
          <cell r="L546">
            <v>3.4421914690010706E-2</v>
          </cell>
        </row>
        <row r="547">
          <cell r="C547" t="str">
            <v>Bharti Airtel</v>
          </cell>
          <cell r="I547">
            <v>-2.4373782857519577E-3</v>
          </cell>
          <cell r="J547">
            <v>-3.0510553317796906E-2</v>
          </cell>
          <cell r="K547">
            <v>0</v>
          </cell>
          <cell r="L547">
            <v>-5.1034604366655516E-3</v>
          </cell>
        </row>
        <row r="548">
          <cell r="C548" t="str">
            <v>China Mobile</v>
          </cell>
          <cell r="I548">
            <v>0</v>
          </cell>
          <cell r="J548">
            <v>0</v>
          </cell>
          <cell r="K548">
            <v>0</v>
          </cell>
          <cell r="L548">
            <v>0</v>
          </cell>
        </row>
        <row r="549">
          <cell r="C549" t="str">
            <v>CelcomDigi</v>
          </cell>
          <cell r="I549">
            <v>0</v>
          </cell>
          <cell r="J549">
            <v>0</v>
          </cell>
          <cell r="K549">
            <v>0</v>
          </cell>
          <cell r="L549">
            <v>0</v>
          </cell>
        </row>
        <row r="550">
          <cell r="C550" t="str">
            <v>Vodafone IDEA</v>
          </cell>
          <cell r="I550">
            <v>0</v>
          </cell>
          <cell r="J550">
            <v>0</v>
          </cell>
          <cell r="K550">
            <v>0</v>
          </cell>
          <cell r="L550">
            <v>0</v>
          </cell>
        </row>
        <row r="551">
          <cell r="C551" t="str">
            <v>Indosat</v>
          </cell>
          <cell r="I551">
            <v>0</v>
          </cell>
          <cell r="J551">
            <v>0</v>
          </cell>
          <cell r="K551">
            <v>0</v>
          </cell>
          <cell r="L551">
            <v>0</v>
          </cell>
        </row>
        <row r="552">
          <cell r="C552" t="str">
            <v>LG Uplus</v>
          </cell>
          <cell r="I552">
            <v>0</v>
          </cell>
          <cell r="J552">
            <v>0</v>
          </cell>
          <cell r="K552">
            <v>0</v>
          </cell>
          <cell r="L552">
            <v>1.5856455602496215E-2</v>
          </cell>
        </row>
        <row r="553">
          <cell r="C553" t="str">
            <v>Maxis</v>
          </cell>
          <cell r="I553">
            <v>0</v>
          </cell>
          <cell r="J553">
            <v>0</v>
          </cell>
          <cell r="K553">
            <v>0</v>
          </cell>
          <cell r="L553">
            <v>0</v>
          </cell>
        </row>
        <row r="554">
          <cell r="C554" t="str">
            <v>SK Telecom</v>
          </cell>
          <cell r="I554">
            <v>0</v>
          </cell>
          <cell r="J554">
            <v>0</v>
          </cell>
          <cell r="K554">
            <v>3.7731564870281606E-2</v>
          </cell>
          <cell r="L554">
            <v>6.7889918777641299E-3</v>
          </cell>
        </row>
        <row r="555">
          <cell r="C555" t="str">
            <v>True Corp</v>
          </cell>
          <cell r="I555">
            <v>0</v>
          </cell>
          <cell r="J555">
            <v>0</v>
          </cell>
          <cell r="K555">
            <v>0</v>
          </cell>
          <cell r="L555">
            <v>0</v>
          </cell>
        </row>
        <row r="556">
          <cell r="C556" t="str">
            <v>XL Axiata</v>
          </cell>
          <cell r="I556">
            <v>0</v>
          </cell>
          <cell r="J556">
            <v>0</v>
          </cell>
          <cell r="K556">
            <v>0</v>
          </cell>
          <cell r="L556">
            <v>0</v>
          </cell>
        </row>
        <row r="557">
          <cell r="C557" t="str">
            <v>Agg. Emerging Asia Cellular</v>
          </cell>
          <cell r="I557">
            <v>-3.854772842672321E-4</v>
          </cell>
          <cell r="J557">
            <v>-8.9532979476184462E-3</v>
          </cell>
          <cell r="K557">
            <v>9.4163259271374926E-4</v>
          </cell>
          <cell r="L557">
            <v>-8.6019610006964737E-4</v>
          </cell>
        </row>
        <row r="558">
          <cell r="C558"/>
          <cell r="I558"/>
          <cell r="J558"/>
          <cell r="K558"/>
          <cell r="L558"/>
        </row>
        <row r="559">
          <cell r="C559" t="str">
            <v>Agg. Emerging  Cellular</v>
          </cell>
          <cell r="I559">
            <v>-5.2595400936070115E-4</v>
          </cell>
          <cell r="J559">
            <v>-7.1699691857926217E-3</v>
          </cell>
          <cell r="K559">
            <v>1.204948188924702E-3</v>
          </cell>
          <cell r="L559">
            <v>-5.0020143044342074E-4</v>
          </cell>
        </row>
        <row r="560">
          <cell r="C560"/>
          <cell r="I560"/>
          <cell r="J560"/>
          <cell r="K560"/>
          <cell r="L560"/>
        </row>
        <row r="561">
          <cell r="C561" t="str">
            <v>Agg. EMEA sector</v>
          </cell>
          <cell r="I561">
            <v>-4.7304865553436442E-3</v>
          </cell>
          <cell r="J561">
            <v>4.4760400554237243E-3</v>
          </cell>
          <cell r="K561">
            <v>4.4983029904362426E-3</v>
          </cell>
          <cell r="L561">
            <v>4.4320264500644531E-3</v>
          </cell>
        </row>
        <row r="562">
          <cell r="C562" t="str">
            <v>Agg. LatAm sector</v>
          </cell>
          <cell r="I562">
            <v>9.0978734762509061E-3</v>
          </cell>
          <cell r="J562">
            <v>1.3716164792772094E-2</v>
          </cell>
          <cell r="K562">
            <v>1.3460295536069174E-2</v>
          </cell>
          <cell r="L562">
            <v>1.3490125400451058E-2</v>
          </cell>
        </row>
        <row r="563">
          <cell r="C563" t="str">
            <v>Agg. Emerging Asia sector</v>
          </cell>
          <cell r="I563">
            <v>-2.8638715222351761E-5</v>
          </cell>
          <cell r="J563">
            <v>-6.6102815165142341E-3</v>
          </cell>
          <cell r="K563">
            <v>1.1130794006611146E-3</v>
          </cell>
          <cell r="L563">
            <v>-2.9599262222689742E-4</v>
          </cell>
        </row>
        <row r="564">
          <cell r="C564"/>
          <cell r="I564"/>
          <cell r="J564"/>
          <cell r="K564"/>
          <cell r="L564"/>
        </row>
        <row r="565">
          <cell r="C565" t="str">
            <v>Agg. Global EM sector</v>
          </cell>
          <cell r="I565">
            <v>8.7267359799014115E-4</v>
          </cell>
          <cell r="J565">
            <v>-3.021791736807884E-3</v>
          </cell>
          <cell r="K565">
            <v>3.0112749108194407E-3</v>
          </cell>
          <cell r="L565">
            <v>1.863327132135591E-3</v>
          </cell>
        </row>
        <row r="568">
          <cell r="C568"/>
          <cell r="I568" t="str">
            <v>Mkt. Cap. (EUR for Europe, US$ RoW)</v>
          </cell>
          <cell r="J568"/>
          <cell r="K568"/>
          <cell r="L568"/>
        </row>
        <row r="569">
          <cell r="C569" t="str">
            <v>America Movil</v>
          </cell>
          <cell r="I569">
            <v>63.111874999999998</v>
          </cell>
          <cell r="J569">
            <v>61.593000000000004</v>
          </cell>
          <cell r="K569">
            <v>60.178874999999998</v>
          </cell>
          <cell r="L569">
            <v>58.817124999999997</v>
          </cell>
        </row>
        <row r="570">
          <cell r="C570" t="str">
            <v>Vivo</v>
          </cell>
          <cell r="I570">
            <v>20.515537108782091</v>
          </cell>
          <cell r="J570">
            <v>20.198947477997436</v>
          </cell>
          <cell r="K570">
            <v>19.871051074684761</v>
          </cell>
          <cell r="L570">
            <v>19.531847898844067</v>
          </cell>
        </row>
        <row r="571">
          <cell r="C571" t="str">
            <v>Televisa</v>
          </cell>
          <cell r="I571">
            <v>1.3773808273846155</v>
          </cell>
          <cell r="J571">
            <v>1.3773808273846155</v>
          </cell>
          <cell r="K571">
            <v>1.3773808273846155</v>
          </cell>
          <cell r="L571">
            <v>1.3773808273846155</v>
          </cell>
        </row>
        <row r="572">
          <cell r="C572" t="str">
            <v>Agg. LatAm Incumbent</v>
          </cell>
          <cell r="I572">
            <v>85.004792936166723</v>
          </cell>
          <cell r="J572">
            <v>83.169328305382066</v>
          </cell>
          <cell r="K572">
            <v>81.427306902069375</v>
          </cell>
          <cell r="L572">
            <v>79.72635372622868</v>
          </cell>
        </row>
        <row r="573">
          <cell r="C573"/>
          <cell r="I573"/>
          <cell r="J573"/>
          <cell r="K573"/>
          <cell r="L573"/>
        </row>
        <row r="574">
          <cell r="C574" t="str">
            <v>China Telecom</v>
          </cell>
          <cell r="I574">
            <v>66.542836549908927</v>
          </cell>
          <cell r="J574">
            <v>66.542836549908927</v>
          </cell>
          <cell r="K574">
            <v>66.542836549908927</v>
          </cell>
          <cell r="L574">
            <v>66.542836549908927</v>
          </cell>
        </row>
        <row r="575">
          <cell r="C575" t="str">
            <v>China Unicom</v>
          </cell>
          <cell r="I575">
            <v>36.979171519952629</v>
          </cell>
          <cell r="J575">
            <v>36.979171519952629</v>
          </cell>
          <cell r="K575">
            <v>36.979171519952629</v>
          </cell>
          <cell r="L575">
            <v>36.979171519952629</v>
          </cell>
        </row>
        <row r="576">
          <cell r="C576" t="str">
            <v>KT Corp</v>
          </cell>
          <cell r="I576">
            <v>8.3323044006769376</v>
          </cell>
          <cell r="J576">
            <v>8.1692762337439753</v>
          </cell>
          <cell r="K576">
            <v>8.0062480668110148</v>
          </cell>
          <cell r="L576">
            <v>7.8432198998780516</v>
          </cell>
        </row>
        <row r="577">
          <cell r="C577" t="str">
            <v>Telkom Indonesia</v>
          </cell>
          <cell r="I577">
            <v>19.42990903894691</v>
          </cell>
          <cell r="J577">
            <v>19.42990903894691</v>
          </cell>
          <cell r="K577">
            <v>19.42990903894691</v>
          </cell>
          <cell r="L577">
            <v>19.42990903894691</v>
          </cell>
        </row>
        <row r="578">
          <cell r="C578" t="str">
            <v>Agg. Emerging Asia Incumbent</v>
          </cell>
          <cell r="I578">
            <v>131.28422150948541</v>
          </cell>
          <cell r="J578">
            <v>131.12119334255243</v>
          </cell>
          <cell r="K578">
            <v>130.95816517561948</v>
          </cell>
          <cell r="L578">
            <v>130.79513700868651</v>
          </cell>
        </row>
        <row r="579">
          <cell r="C579"/>
          <cell r="I579"/>
          <cell r="J579"/>
          <cell r="K579"/>
          <cell r="L579"/>
        </row>
        <row r="580">
          <cell r="C580" t="str">
            <v>Agg. Emerging Incumbent</v>
          </cell>
          <cell r="I580">
            <v>216.28901444565213</v>
          </cell>
          <cell r="J580">
            <v>214.2905216479345</v>
          </cell>
          <cell r="K580">
            <v>212.38547207768883</v>
          </cell>
          <cell r="L580">
            <v>210.5214907349152</v>
          </cell>
        </row>
        <row r="581">
          <cell r="C581"/>
          <cell r="I581"/>
          <cell r="J581"/>
          <cell r="K581"/>
          <cell r="L581"/>
        </row>
        <row r="582">
          <cell r="C582" t="str">
            <v>Airtel Africa</v>
          </cell>
          <cell r="I582">
            <v>11.068179436966709</v>
          </cell>
          <cell r="J582">
            <v>10.848705760441895</v>
          </cell>
          <cell r="K582">
            <v>10.629232083917081</v>
          </cell>
          <cell r="L582">
            <v>10.409758407392264</v>
          </cell>
        </row>
        <row r="583">
          <cell r="C583" t="str">
            <v>MTN</v>
          </cell>
          <cell r="I583">
            <v>17.511111368213772</v>
          </cell>
          <cell r="J583">
            <v>17.510412326670178</v>
          </cell>
          <cell r="K583">
            <v>17.50971328512658</v>
          </cell>
          <cell r="L583">
            <v>17.509014243582989</v>
          </cell>
        </row>
        <row r="584">
          <cell r="C584" t="str">
            <v>Safaricom</v>
          </cell>
          <cell r="I584">
            <v>8.7793327138985688</v>
          </cell>
          <cell r="J584">
            <v>8.7793327138985688</v>
          </cell>
          <cell r="K584">
            <v>8.7793327138985688</v>
          </cell>
          <cell r="L584">
            <v>8.7793327138985688</v>
          </cell>
        </row>
        <row r="585">
          <cell r="C585" t="str">
            <v>VEON</v>
          </cell>
          <cell r="I585">
            <v>3.5855899159663864</v>
          </cell>
          <cell r="J585">
            <v>3.5561781512605042</v>
          </cell>
          <cell r="K585">
            <v>3.5267663865546219</v>
          </cell>
          <cell r="L585">
            <v>3.5015563025210081</v>
          </cell>
        </row>
        <row r="586">
          <cell r="C586" t="str">
            <v>Vodacom</v>
          </cell>
          <cell r="I586">
            <v>16.443842005172456</v>
          </cell>
          <cell r="J586">
            <v>16.410801133106133</v>
          </cell>
          <cell r="K586">
            <v>16.377760261039811</v>
          </cell>
          <cell r="L586">
            <v>16.344719388973491</v>
          </cell>
        </row>
        <row r="587">
          <cell r="C587" t="str">
            <v>Agg. EMEA Cellular</v>
          </cell>
          <cell r="I587">
            <v>57.38805544021789</v>
          </cell>
          <cell r="J587">
            <v>57.105430085377279</v>
          </cell>
          <cell r="K587">
            <v>56.82280473053666</v>
          </cell>
          <cell r="L587">
            <v>56.544381056368316</v>
          </cell>
        </row>
        <row r="588">
          <cell r="C588"/>
          <cell r="I588"/>
          <cell r="J588"/>
          <cell r="K588"/>
          <cell r="L588"/>
        </row>
        <row r="589">
          <cell r="C589" t="str">
            <v>Entel</v>
          </cell>
          <cell r="I589">
            <v>1.3776589387671494</v>
          </cell>
          <cell r="J589">
            <v>1.3776589387671494</v>
          </cell>
          <cell r="K589">
            <v>1.3776589387671494</v>
          </cell>
          <cell r="L589">
            <v>1.3776589387671494</v>
          </cell>
        </row>
        <row r="590">
          <cell r="C590" t="str">
            <v>Millicom</v>
          </cell>
          <cell r="I590">
            <v>7.9679769312097282</v>
          </cell>
          <cell r="J590">
            <v>7.8223149066826014</v>
          </cell>
          <cell r="K590">
            <v>7.6766528821554765</v>
          </cell>
          <cell r="L590">
            <v>7.5309908576283506</v>
          </cell>
        </row>
        <row r="591">
          <cell r="C591" t="str">
            <v>TIM Participacoes</v>
          </cell>
          <cell r="I591">
            <v>5.8970994160573271</v>
          </cell>
          <cell r="J591">
            <v>5.7456714537478151</v>
          </cell>
          <cell r="K591">
            <v>5.5942434914383021</v>
          </cell>
          <cell r="L591">
            <v>5.4428155291287892</v>
          </cell>
        </row>
        <row r="592">
          <cell r="C592" t="str">
            <v>Megacable</v>
          </cell>
          <cell r="I592">
            <v>2.5386909480953803</v>
          </cell>
          <cell r="J592">
            <v>2.5386909480953803</v>
          </cell>
          <cell r="K592">
            <v>2.5386909480953803</v>
          </cell>
          <cell r="L592">
            <v>2.5386909480953803</v>
          </cell>
        </row>
        <row r="593">
          <cell r="C593" t="str">
            <v>LiLAC</v>
          </cell>
          <cell r="I593">
            <v>1.7024385</v>
          </cell>
          <cell r="J593">
            <v>1.6591635</v>
          </cell>
          <cell r="K593">
            <v>1.6158885000000001</v>
          </cell>
          <cell r="L593">
            <v>1.5726134999999999</v>
          </cell>
        </row>
        <row r="594">
          <cell r="C594" t="str">
            <v>Agg. LatAm Other</v>
          </cell>
          <cell r="I594">
            <v>19.483864734129586</v>
          </cell>
          <cell r="J594">
            <v>19.143499747292946</v>
          </cell>
          <cell r="K594">
            <v>18.803134760456313</v>
          </cell>
          <cell r="L594">
            <v>18.462769773619673</v>
          </cell>
        </row>
        <row r="595">
          <cell r="C595"/>
          <cell r="I595"/>
          <cell r="J595"/>
          <cell r="K595"/>
          <cell r="L595"/>
        </row>
        <row r="596">
          <cell r="C596" t="str">
            <v>AIS</v>
          </cell>
          <cell r="I596">
            <v>27.94788710907704</v>
          </cell>
          <cell r="J596">
            <v>27.94788710907704</v>
          </cell>
          <cell r="K596">
            <v>27.94788710907704</v>
          </cell>
          <cell r="L596">
            <v>27.94788710907704</v>
          </cell>
        </row>
        <row r="597">
          <cell r="C597" t="str">
            <v>Axiata</v>
          </cell>
          <cell r="I597">
            <v>5.6822971630120778</v>
          </cell>
          <cell r="J597">
            <v>5.6822971630120778</v>
          </cell>
          <cell r="K597">
            <v>5.6822971630120778</v>
          </cell>
          <cell r="L597">
            <v>5.6822971630120778</v>
          </cell>
        </row>
        <row r="598">
          <cell r="C598" t="str">
            <v>Bharti Airtel</v>
          </cell>
          <cell r="I598">
            <v>140.75205430958238</v>
          </cell>
          <cell r="J598">
            <v>140.75205430958238</v>
          </cell>
          <cell r="K598">
            <v>140.75205430958238</v>
          </cell>
          <cell r="L598">
            <v>140.75205430958238</v>
          </cell>
        </row>
        <row r="599">
          <cell r="C599" t="str">
            <v>China Mobile</v>
          </cell>
          <cell r="I599">
            <v>235.31473382674892</v>
          </cell>
          <cell r="J599">
            <v>235.31473382674892</v>
          </cell>
          <cell r="K599">
            <v>235.31473382674892</v>
          </cell>
          <cell r="L599">
            <v>235.31473382674892</v>
          </cell>
        </row>
        <row r="600">
          <cell r="C600" t="str">
            <v>CelcomDigi</v>
          </cell>
          <cell r="I600">
            <v>9.9452518683400442</v>
          </cell>
          <cell r="J600">
            <v>9.9452518683400442</v>
          </cell>
          <cell r="K600">
            <v>9.9452518683400442</v>
          </cell>
          <cell r="L600">
            <v>9.9452518683400442</v>
          </cell>
        </row>
        <row r="601">
          <cell r="C601" t="str">
            <v>Vodafone IDEA</v>
          </cell>
          <cell r="I601">
            <v>7.8177098047964799</v>
          </cell>
          <cell r="J601">
            <v>7.8177098047964799</v>
          </cell>
          <cell r="K601">
            <v>7.8177098047964799</v>
          </cell>
          <cell r="L601">
            <v>7.8177098047964799</v>
          </cell>
        </row>
        <row r="602">
          <cell r="C602" t="str">
            <v>Indosat</v>
          </cell>
          <cell r="I602">
            <v>3.6830370593552275</v>
          </cell>
          <cell r="J602">
            <v>3.6830370593552275</v>
          </cell>
          <cell r="K602">
            <v>3.6830370593552275</v>
          </cell>
          <cell r="L602">
            <v>3.6830370593552275</v>
          </cell>
        </row>
        <row r="603">
          <cell r="C603" t="str">
            <v>LG Uplus</v>
          </cell>
          <cell r="I603">
            <v>4.5526029303175211</v>
          </cell>
          <cell r="J603">
            <v>4.5070730557014329</v>
          </cell>
          <cell r="K603">
            <v>4.4526553107508811</v>
          </cell>
          <cell r="L603">
            <v>4.390087108617112</v>
          </cell>
        </row>
        <row r="604">
          <cell r="C604" t="str">
            <v>Maxis</v>
          </cell>
          <cell r="I604">
            <v>7.1402320625148006</v>
          </cell>
          <cell r="J604">
            <v>7.1411437366800854</v>
          </cell>
          <cell r="K604">
            <v>7.1411437366800854</v>
          </cell>
          <cell r="L604">
            <v>7.1411437366800854</v>
          </cell>
        </row>
        <row r="605">
          <cell r="C605" t="str">
            <v>SK Telecom</v>
          </cell>
          <cell r="I605">
            <v>7.972771709721207</v>
          </cell>
          <cell r="J605">
            <v>7.9390322168609044</v>
          </cell>
          <cell r="K605">
            <v>7.8715532311402985</v>
          </cell>
          <cell r="L605">
            <v>7.804074245419689</v>
          </cell>
        </row>
        <row r="606">
          <cell r="C606" t="str">
            <v>True Corp</v>
          </cell>
          <cell r="I606">
            <v>12.018122017739131</v>
          </cell>
          <cell r="J606">
            <v>12.018122017739131</v>
          </cell>
          <cell r="K606">
            <v>12.018122017739131</v>
          </cell>
          <cell r="L606">
            <v>12.018122017739131</v>
          </cell>
        </row>
        <row r="607">
          <cell r="C607" t="str">
            <v>XL Axiata</v>
          </cell>
          <cell r="I607">
            <v>2.6695962639349204</v>
          </cell>
          <cell r="J607">
            <v>2.6695962639349204</v>
          </cell>
          <cell r="K607">
            <v>2.6695962639349204</v>
          </cell>
          <cell r="L607">
            <v>2.6695962639349204</v>
          </cell>
        </row>
        <row r="608">
          <cell r="C608" t="str">
            <v>Agg. Emerging Asia Cellular</v>
          </cell>
          <cell r="I608">
            <v>465.49629612513974</v>
          </cell>
          <cell r="J608">
            <v>465.4179384318287</v>
          </cell>
          <cell r="K608">
            <v>465.29604170115749</v>
          </cell>
          <cell r="L608">
            <v>465.16599451330313</v>
          </cell>
        </row>
        <row r="609">
          <cell r="C609"/>
          <cell r="I609"/>
          <cell r="J609"/>
          <cell r="K609"/>
          <cell r="L609"/>
        </row>
        <row r="610">
          <cell r="C610" t="str">
            <v>Agg. Emerging  Cellular</v>
          </cell>
          <cell r="I610">
            <v>542.36821629948713</v>
          </cell>
          <cell r="J610">
            <v>541.66686826449893</v>
          </cell>
          <cell r="K610">
            <v>540.9219811921505</v>
          </cell>
          <cell r="L610">
            <v>540.17314534329114</v>
          </cell>
        </row>
        <row r="611">
          <cell r="C611"/>
          <cell r="I611"/>
          <cell r="J611"/>
          <cell r="K611"/>
          <cell r="L611"/>
        </row>
        <row r="612">
          <cell r="C612" t="str">
            <v>Agg. EMEA sector</v>
          </cell>
          <cell r="I612">
            <v>57.38805544021789</v>
          </cell>
          <cell r="J612">
            <v>57.105430085377279</v>
          </cell>
          <cell r="K612">
            <v>56.82280473053666</v>
          </cell>
          <cell r="L612">
            <v>56.544381056368316</v>
          </cell>
        </row>
        <row r="613">
          <cell r="C613" t="str">
            <v>Agg. LatAm sector</v>
          </cell>
          <cell r="I613">
            <v>104.48865767029631</v>
          </cell>
          <cell r="J613">
            <v>102.312828052675</v>
          </cell>
          <cell r="K613">
            <v>100.23044166252571</v>
          </cell>
          <cell r="L613">
            <v>98.18912349984835</v>
          </cell>
        </row>
        <row r="614">
          <cell r="C614" t="str">
            <v>Agg. Emerging Asia sector</v>
          </cell>
          <cell r="I614">
            <v>596.7805176346252</v>
          </cell>
          <cell r="J614">
            <v>596.53913177438119</v>
          </cell>
          <cell r="K614">
            <v>596.25420687677695</v>
          </cell>
          <cell r="L614">
            <v>595.96113152198973</v>
          </cell>
        </row>
        <row r="615">
          <cell r="C615"/>
          <cell r="I615"/>
          <cell r="J615"/>
          <cell r="K615"/>
          <cell r="L615"/>
        </row>
        <row r="616">
          <cell r="C616" t="str">
            <v>Agg. Global EM sector</v>
          </cell>
          <cell r="I616">
            <v>758.65723074513926</v>
          </cell>
          <cell r="J616">
            <v>755.95738991243343</v>
          </cell>
          <cell r="K616">
            <v>753.30745326983924</v>
          </cell>
          <cell r="L616">
            <v>750.69463607820637</v>
          </cell>
        </row>
        <row r="617">
          <cell r="C617"/>
          <cell r="I617"/>
          <cell r="J617"/>
          <cell r="K617"/>
          <cell r="L617"/>
        </row>
        <row r="618">
          <cell r="C618"/>
          <cell r="I618"/>
          <cell r="J618"/>
          <cell r="K618"/>
          <cell r="L618"/>
        </row>
        <row r="619">
          <cell r="C619"/>
          <cell r="I619" t="str">
            <v>EV (EUR for Europe, US$ RoW)</v>
          </cell>
          <cell r="J619"/>
          <cell r="K619"/>
          <cell r="L619"/>
        </row>
        <row r="620">
          <cell r="C620" t="str">
            <v>America Movil</v>
          </cell>
          <cell r="I620">
            <v>104.75970251516178</v>
          </cell>
          <cell r="J620">
            <v>99.003050250655107</v>
          </cell>
          <cell r="K620">
            <v>93.097419518283743</v>
          </cell>
          <cell r="L620">
            <v>86.649357717173061</v>
          </cell>
        </row>
        <row r="621">
          <cell r="C621" t="str">
            <v>Vivo</v>
          </cell>
          <cell r="I621">
            <v>21.208895715668721</v>
          </cell>
          <cell r="J621">
            <v>19.369754669628996</v>
          </cell>
          <cell r="K621">
            <v>18.420456615593459</v>
          </cell>
          <cell r="L621">
            <v>16.071893673623542</v>
          </cell>
        </row>
        <row r="622">
          <cell r="C622" t="str">
            <v>Televisa</v>
          </cell>
          <cell r="I622">
            <v>2.1645157185404669</v>
          </cell>
          <cell r="J622">
            <v>2.0164925657467827</v>
          </cell>
          <cell r="K622">
            <v>1.7814497599605257</v>
          </cell>
          <cell r="L622">
            <v>1.4574494262005375</v>
          </cell>
        </row>
        <row r="623">
          <cell r="C623" t="str">
            <v>Agg. LatAm Incumbent</v>
          </cell>
          <cell r="I623">
            <v>128.13311394937097</v>
          </cell>
          <cell r="J623">
            <v>120.38929748603088</v>
          </cell>
          <cell r="K623">
            <v>113.29932589383773</v>
          </cell>
          <cell r="L623">
            <v>104.17870081699714</v>
          </cell>
        </row>
        <row r="624">
          <cell r="C624"/>
          <cell r="I624"/>
          <cell r="J624"/>
          <cell r="K624"/>
          <cell r="L624"/>
        </row>
        <row r="625">
          <cell r="C625" t="str">
            <v>China Telecom</v>
          </cell>
          <cell r="I625">
            <v>42.211504429231233</v>
          </cell>
          <cell r="J625">
            <v>38.966581629961901</v>
          </cell>
          <cell r="K625">
            <v>40.459060352476136</v>
          </cell>
          <cell r="L625">
            <v>36.419621859544378</v>
          </cell>
        </row>
        <row r="626">
          <cell r="C626" t="str">
            <v>China Unicom</v>
          </cell>
          <cell r="I626">
            <v>23.61719179198845</v>
          </cell>
          <cell r="J626">
            <v>20.82363363439347</v>
          </cell>
          <cell r="K626">
            <v>21.392478346037866</v>
          </cell>
          <cell r="L626">
            <v>18.461067859402014</v>
          </cell>
        </row>
        <row r="627">
          <cell r="C627" t="str">
            <v>KT Corp</v>
          </cell>
          <cell r="I627">
            <v>11.208065808234672</v>
          </cell>
          <cell r="J627">
            <v>9.741443537747843</v>
          </cell>
          <cell r="K627">
            <v>8.1546213139525001</v>
          </cell>
          <cell r="L627">
            <v>6.4523675443647841</v>
          </cell>
        </row>
        <row r="628">
          <cell r="C628" t="str">
            <v>Telkom Indonesia</v>
          </cell>
          <cell r="I628">
            <v>34.697242975507166</v>
          </cell>
          <cell r="J628">
            <v>34.081347575069074</v>
          </cell>
          <cell r="K628">
            <v>32.923551101989695</v>
          </cell>
          <cell r="L628">
            <v>31.719048496791963</v>
          </cell>
        </row>
        <row r="629">
          <cell r="C629" t="str">
            <v>Agg. Emerging Asia Incumbent</v>
          </cell>
          <cell r="I629">
            <v>111.7340050049615</v>
          </cell>
          <cell r="J629">
            <v>103.61300637717228</v>
          </cell>
          <cell r="K629">
            <v>102.92971111445621</v>
          </cell>
          <cell r="L629">
            <v>93.052105760103132</v>
          </cell>
        </row>
        <row r="630">
          <cell r="C630"/>
          <cell r="I630"/>
          <cell r="J630"/>
          <cell r="K630"/>
          <cell r="L630"/>
        </row>
        <row r="631">
          <cell r="C631" t="str">
            <v>Agg. Emerging Incumbent</v>
          </cell>
          <cell r="I631">
            <v>239.86711895433248</v>
          </cell>
          <cell r="J631">
            <v>224.00230386320317</v>
          </cell>
          <cell r="K631">
            <v>216.22903700829394</v>
          </cell>
          <cell r="L631">
            <v>197.23080657710028</v>
          </cell>
        </row>
        <row r="632">
          <cell r="C632"/>
          <cell r="I632"/>
          <cell r="J632"/>
          <cell r="K632"/>
          <cell r="L632"/>
        </row>
        <row r="633">
          <cell r="C633" t="str">
            <v>Airtel Africa</v>
          </cell>
          <cell r="I633">
            <v>17.743137283867931</v>
          </cell>
          <cell r="J633">
            <v>17.150878615874955</v>
          </cell>
          <cell r="K633">
            <v>16.292278382703167</v>
          </cell>
          <cell r="L633">
            <v>15.297215185853235</v>
          </cell>
        </row>
        <row r="634">
          <cell r="C634" t="str">
            <v>MTN</v>
          </cell>
          <cell r="I634">
            <v>26.264911526880379</v>
          </cell>
          <cell r="J634">
            <v>25.311977010905977</v>
          </cell>
          <cell r="K634">
            <v>24.044768369367507</v>
          </cell>
          <cell r="L634">
            <v>22.553638145905804</v>
          </cell>
        </row>
        <row r="635">
          <cell r="C635" t="str">
            <v>Safaricom</v>
          </cell>
          <cell r="I635">
            <v>8.5564962667796731</v>
          </cell>
          <cell r="J635">
            <v>8.0435774901341421</v>
          </cell>
          <cell r="K635">
            <v>7.4347956044164825</v>
          </cell>
          <cell r="L635">
            <v>6.7317847308336489</v>
          </cell>
        </row>
        <row r="636">
          <cell r="C636" t="str">
            <v>VEON</v>
          </cell>
          <cell r="I636">
            <v>8.2808135228629833</v>
          </cell>
          <cell r="J636">
            <v>7.9346254565015339</v>
          </cell>
          <cell r="K636">
            <v>7.4849525341143721</v>
          </cell>
          <cell r="L636">
            <v>6.9426110736943487</v>
          </cell>
        </row>
        <row r="637">
          <cell r="C637" t="str">
            <v>Vodacom</v>
          </cell>
          <cell r="I637">
            <v>18.977571067908656</v>
          </cell>
          <cell r="J637">
            <v>17.73771668838242</v>
          </cell>
          <cell r="K637">
            <v>16.292470566687154</v>
          </cell>
          <cell r="L637">
            <v>14.636446558919003</v>
          </cell>
        </row>
        <row r="638">
          <cell r="C638" t="str">
            <v>Agg. EMEA Cellular</v>
          </cell>
          <cell r="I638">
            <v>79.822929668299636</v>
          </cell>
          <cell r="J638">
            <v>76.178775261799018</v>
          </cell>
          <cell r="K638">
            <v>71.549265457288683</v>
          </cell>
          <cell r="L638">
            <v>66.161695695206035</v>
          </cell>
        </row>
        <row r="639">
          <cell r="C639"/>
          <cell r="I639"/>
          <cell r="J639"/>
          <cell r="K639"/>
          <cell r="L639"/>
        </row>
        <row r="640">
          <cell r="C640" t="str">
            <v>Entel</v>
          </cell>
          <cell r="I640">
            <v>2.8025825874651673</v>
          </cell>
          <cell r="J640">
            <v>2.8302685466810145</v>
          </cell>
          <cell r="K640">
            <v>2.8291539963199153</v>
          </cell>
          <cell r="L640">
            <v>2.7818448870794392</v>
          </cell>
        </row>
        <row r="641">
          <cell r="C641" t="str">
            <v>Millicom</v>
          </cell>
          <cell r="I641">
            <v>15.352906422972344</v>
          </cell>
          <cell r="J641">
            <v>14.920817726271524</v>
          </cell>
          <cell r="K641">
            <v>14.438034052452098</v>
          </cell>
          <cell r="L641">
            <v>13.913633538407421</v>
          </cell>
        </row>
        <row r="642">
          <cell r="C642" t="str">
            <v>TIM Participacoes</v>
          </cell>
          <cell r="I642">
            <v>8.0187316809459741</v>
          </cell>
          <cell r="J642">
            <v>6.9352326711144592</v>
          </cell>
          <cell r="K642">
            <v>5.7219289997413725</v>
          </cell>
          <cell r="L642">
            <v>4.3622602907308448</v>
          </cell>
        </row>
        <row r="643">
          <cell r="C643" t="str">
            <v>Megacable</v>
          </cell>
          <cell r="I643">
            <v>3.9813647674542936</v>
          </cell>
          <cell r="J643">
            <v>3.787072179128308</v>
          </cell>
          <cell r="K643">
            <v>3.5130776506210468</v>
          </cell>
          <cell r="L643">
            <v>3.1670573452549111</v>
          </cell>
        </row>
        <row r="644">
          <cell r="C644" t="str">
            <v>LiLAC</v>
          </cell>
          <cell r="I644">
            <v>10.406319857444753</v>
          </cell>
          <cell r="J644">
            <v>10.044625356245051</v>
          </cell>
          <cell r="K644">
            <v>9.6140120789190888</v>
          </cell>
          <cell r="L644">
            <v>9.104391528705543</v>
          </cell>
        </row>
        <row r="645">
          <cell r="C645" t="str">
            <v>Agg. LatAm Other</v>
          </cell>
          <cell r="I645">
            <v>40.561905316282527</v>
          </cell>
          <cell r="J645">
            <v>38.518016479440355</v>
          </cell>
          <cell r="K645">
            <v>36.116206778053524</v>
          </cell>
          <cell r="L645">
            <v>33.329187590178158</v>
          </cell>
        </row>
        <row r="646">
          <cell r="C646"/>
          <cell r="I646"/>
          <cell r="J646"/>
          <cell r="K646"/>
          <cell r="L646"/>
        </row>
        <row r="647">
          <cell r="C647" t="str">
            <v>AIS</v>
          </cell>
          <cell r="I647">
            <v>33.750099736063284</v>
          </cell>
          <cell r="J647">
            <v>31.579629553780535</v>
          </cell>
          <cell r="K647">
            <v>29.362229712618021</v>
          </cell>
          <cell r="L647">
            <v>27.039154354154434</v>
          </cell>
        </row>
        <row r="648">
          <cell r="C648" t="str">
            <v>Axiata</v>
          </cell>
          <cell r="I648">
            <v>8.4019277573762725</v>
          </cell>
          <cell r="J648">
            <v>9.8846253657115799</v>
          </cell>
          <cell r="K648">
            <v>9.411709589989675</v>
          </cell>
          <cell r="L648">
            <v>8.8848575696845895</v>
          </cell>
        </row>
        <row r="649">
          <cell r="C649" t="str">
            <v>Bharti Airtel</v>
          </cell>
          <cell r="I649">
            <v>169.69792949290863</v>
          </cell>
          <cell r="J649">
            <v>164.38701733229385</v>
          </cell>
          <cell r="K649">
            <v>158.08028110518808</v>
          </cell>
          <cell r="L649">
            <v>150.81077259708806</v>
          </cell>
        </row>
        <row r="650">
          <cell r="C650" t="str">
            <v>China Mobile</v>
          </cell>
          <cell r="I650">
            <v>189.13927244778571</v>
          </cell>
          <cell r="J650">
            <v>166.22739814141323</v>
          </cell>
          <cell r="K650">
            <v>152.29983776063605</v>
          </cell>
          <cell r="L650">
            <v>127.22683492990562</v>
          </cell>
        </row>
        <row r="651">
          <cell r="C651" t="str">
            <v>CelcomDigi</v>
          </cell>
          <cell r="I651">
            <v>12.799618541585033</v>
          </cell>
          <cell r="J651">
            <v>12.140833993917354</v>
          </cell>
          <cell r="K651">
            <v>11.386930354897927</v>
          </cell>
          <cell r="L651">
            <v>10.59731628784318</v>
          </cell>
        </row>
        <row r="652">
          <cell r="C652" t="str">
            <v>Vodafone IDEA</v>
          </cell>
          <cell r="I652">
            <v>34.068375924630601</v>
          </cell>
          <cell r="J652">
            <v>37.658269874606816</v>
          </cell>
          <cell r="K652">
            <v>41.300073202625072</v>
          </cell>
          <cell r="L652">
            <v>44.789541765278599</v>
          </cell>
        </row>
        <row r="653">
          <cell r="C653" t="str">
            <v>Indosat</v>
          </cell>
          <cell r="I653">
            <v>6.604037360650798</v>
          </cell>
          <cell r="J653">
            <v>6.905212413377523</v>
          </cell>
          <cell r="K653">
            <v>6.5901777643868638</v>
          </cell>
          <cell r="L653">
            <v>6.2236215727628803</v>
          </cell>
        </row>
        <row r="654">
          <cell r="C654" t="str">
            <v>LG Uplus</v>
          </cell>
          <cell r="I654">
            <v>9.3597972963433875</v>
          </cell>
          <cell r="J654">
            <v>8.9205830016858734</v>
          </cell>
          <cell r="K654">
            <v>8.4586632356508691</v>
          </cell>
          <cell r="L654">
            <v>7.9695018746229263</v>
          </cell>
        </row>
        <row r="655">
          <cell r="C655" t="str">
            <v>Maxis</v>
          </cell>
          <cell r="I655">
            <v>9.1270089824713079</v>
          </cell>
          <cell r="J655">
            <v>8.6542387230607076</v>
          </cell>
          <cell r="K655">
            <v>8.1638109068359803</v>
          </cell>
          <cell r="L655">
            <v>7.6535528528309031</v>
          </cell>
        </row>
        <row r="656">
          <cell r="C656" t="str">
            <v>SK Telecom</v>
          </cell>
          <cell r="I656">
            <v>15.563196735260409</v>
          </cell>
          <cell r="J656">
            <v>14.414744508705898</v>
          </cell>
          <cell r="K656">
            <v>13.349258078756735</v>
          </cell>
          <cell r="L656">
            <v>12.219319609201966</v>
          </cell>
        </row>
        <row r="657">
          <cell r="C657" t="str">
            <v>True Corp</v>
          </cell>
          <cell r="I657">
            <v>25.100858489634703</v>
          </cell>
          <cell r="J657">
            <v>23.521882537125474</v>
          </cell>
          <cell r="K657">
            <v>21.783293831845619</v>
          </cell>
          <cell r="L657">
            <v>19.968517399079428</v>
          </cell>
        </row>
        <row r="658">
          <cell r="C658" t="str">
            <v>XL Axiata</v>
          </cell>
          <cell r="I658">
            <v>6.9651878931174718</v>
          </cell>
          <cell r="J658">
            <v>6.7813030139179826</v>
          </cell>
          <cell r="K658">
            <v>6.5504330378588671</v>
          </cell>
          <cell r="L658">
            <v>6.2447470385477004</v>
          </cell>
        </row>
        <row r="659">
          <cell r="C659" t="str">
            <v>Agg. Emerging Asia Cellular</v>
          </cell>
          <cell r="I659">
            <v>520.57731065782764</v>
          </cell>
          <cell r="J659">
            <v>491.07573845959683</v>
          </cell>
          <cell r="K659">
            <v>466.73669858128983</v>
          </cell>
          <cell r="L659">
            <v>429.6277378510004</v>
          </cell>
        </row>
        <row r="660">
          <cell r="C660"/>
          <cell r="I660"/>
          <cell r="J660"/>
          <cell r="K660"/>
          <cell r="L660"/>
        </row>
        <row r="661">
          <cell r="C661" t="str">
            <v>Agg. Emerging  Cellular</v>
          </cell>
          <cell r="I661">
            <v>640.96214564240984</v>
          </cell>
          <cell r="J661">
            <v>605.77253020083617</v>
          </cell>
          <cell r="K661">
            <v>574.40217081663206</v>
          </cell>
          <cell r="L661">
            <v>529.1186211363846</v>
          </cell>
        </row>
        <row r="662">
          <cell r="C662"/>
          <cell r="I662"/>
          <cell r="J662"/>
          <cell r="K662"/>
          <cell r="L662"/>
        </row>
        <row r="663">
          <cell r="C663" t="str">
            <v>Agg. EMEA sector</v>
          </cell>
          <cell r="I663">
            <v>79.822929668299636</v>
          </cell>
          <cell r="J663">
            <v>76.178775261799018</v>
          </cell>
          <cell r="K663">
            <v>71.549265457288683</v>
          </cell>
          <cell r="L663">
            <v>66.161695695206035</v>
          </cell>
        </row>
        <row r="664">
          <cell r="C664" t="str">
            <v>Agg. LatAm sector</v>
          </cell>
          <cell r="I664">
            <v>168.69501926565351</v>
          </cell>
          <cell r="J664">
            <v>158.90731396547122</v>
          </cell>
          <cell r="K664">
            <v>149.41553267189124</v>
          </cell>
          <cell r="L664">
            <v>137.5078884071753</v>
          </cell>
        </row>
        <row r="665">
          <cell r="C665" t="str">
            <v>Agg. Emerging Asia sector</v>
          </cell>
          <cell r="I665">
            <v>632.31131566278918</v>
          </cell>
          <cell r="J665">
            <v>594.68874483676905</v>
          </cell>
          <cell r="K665">
            <v>569.66640969574598</v>
          </cell>
          <cell r="L665">
            <v>522.67984361110359</v>
          </cell>
        </row>
        <row r="666">
          <cell r="C666"/>
          <cell r="I666"/>
          <cell r="J666"/>
          <cell r="K666"/>
          <cell r="L666"/>
        </row>
        <row r="667">
          <cell r="C667" t="str">
            <v>Agg. Global EM sector</v>
          </cell>
          <cell r="I667">
            <v>880.82926459674229</v>
          </cell>
          <cell r="J667">
            <v>829.77483406403928</v>
          </cell>
          <cell r="K667">
            <v>790.63120782492604</v>
          </cell>
          <cell r="L667">
            <v>726.34942771348483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FDSCACHE__"/>
      <sheetName val="Definition"/>
      <sheetName val="Price Targets"/>
      <sheetName val="FCFE"/>
      <sheetName val="Capex"/>
      <sheetName val="Capex charts"/>
      <sheetName val="Leverage chart"/>
      <sheetName val="FCFE charts"/>
      <sheetName val="Comments"/>
      <sheetName val="Past div and buybacks"/>
      <sheetName val="Bond Yield"/>
      <sheetName val="FX"/>
      <sheetName val="FCFE-10Y spread"/>
      <sheetName val="Inputs &gt;"/>
      <sheetName val="XLSmart"/>
      <sheetName val="Latam Adjustments"/>
      <sheetName val="Brazil"/>
      <sheetName val="Additional Inputs"/>
      <sheetName val="Asia"/>
      <sheetName val="AXI"/>
      <sheetName val="AIS"/>
      <sheetName val="BHART"/>
      <sheetName val="CM"/>
      <sheetName val="CT"/>
      <sheetName val="CU"/>
      <sheetName val="DIGI"/>
      <sheetName val="IDEA"/>
      <sheetName val="INDO"/>
      <sheetName val="KT"/>
      <sheetName val="LG"/>
      <sheetName val="MAXI"/>
      <sheetName val="PTT"/>
      <sheetName val="REL"/>
      <sheetName val="SINGTEL"/>
      <sheetName val="SKT"/>
      <sheetName val="TRUECORP"/>
      <sheetName val="XLAX"/>
      <sheetName val="VEON"/>
      <sheetName val="Africa"/>
      <sheetName val="AAF"/>
      <sheetName val="MTN"/>
      <sheetName val="SAF"/>
      <sheetName val="VODA"/>
      <sheetName val="Latam"/>
      <sheetName val="AMX"/>
      <sheetName val="MILLI"/>
      <sheetName val="TIMP"/>
      <sheetName val="VIVO"/>
      <sheetName val="LiLAC"/>
    </sheetNames>
    <sheetDataSet>
      <sheetData sheetId="0"/>
      <sheetData sheetId="1"/>
      <sheetData sheetId="2"/>
      <sheetData sheetId="3"/>
      <sheetData sheetId="4"/>
      <sheetData sheetId="5"/>
      <sheetData sheetId="6"/>
      <sheetData sheetId="7">
        <row r="43">
          <cell r="B43" t="str">
            <v>China Mobile</v>
          </cell>
          <cell r="D43">
            <v>7.512146172669916E-2</v>
          </cell>
          <cell r="E43">
            <v>8.0085691077571658E-2</v>
          </cell>
          <cell r="F43">
            <v>8.6064916767417399E-2</v>
          </cell>
          <cell r="G43">
            <v>8.9654698819501749E-2</v>
          </cell>
        </row>
        <row r="44">
          <cell r="B44" t="str">
            <v>China Telecom</v>
          </cell>
          <cell r="D44">
            <v>3.8338381592055021E-2</v>
          </cell>
          <cell r="E44">
            <v>7.5145262731032419E-2</v>
          </cell>
          <cell r="F44">
            <v>9.6186233331538182E-2</v>
          </cell>
          <cell r="G44">
            <v>0.10489180696484608</v>
          </cell>
        </row>
        <row r="45">
          <cell r="B45" t="str">
            <v>China Unicom</v>
          </cell>
          <cell r="D45">
            <v>0.12423272756166352</v>
          </cell>
          <cell r="E45">
            <v>0.13202581370407648</v>
          </cell>
          <cell r="F45">
            <v>0.14305788400465871</v>
          </cell>
          <cell r="G45">
            <v>0.15675072311377677</v>
          </cell>
        </row>
        <row r="46">
          <cell r="B46" t="str">
            <v>SingTel</v>
          </cell>
          <cell r="D46">
            <v>2.6048615073377038E-2</v>
          </cell>
          <cell r="E46">
            <v>3.2816458697356284E-2</v>
          </cell>
          <cell r="F46">
            <v>4.0335767117783687E-2</v>
          </cell>
          <cell r="G46">
            <v>4.9564075558855086E-2</v>
          </cell>
        </row>
        <row r="47">
          <cell r="B47" t="str">
            <v>SK Telecom</v>
          </cell>
          <cell r="D47">
            <v>0.12661915465014123</v>
          </cell>
          <cell r="E47">
            <v>0.12069905282743768</v>
          </cell>
          <cell r="F47">
            <v>0.15639532953030683</v>
          </cell>
          <cell r="G47">
            <v>0.16807440661425652</v>
          </cell>
        </row>
        <row r="48">
          <cell r="B48" t="str">
            <v>KT Corp</v>
          </cell>
          <cell r="D48">
            <v>6.0213026958027348E-2</v>
          </cell>
          <cell r="E48">
            <v>0.18650015224859237</v>
          </cell>
          <cell r="F48">
            <v>0.18865358340191701</v>
          </cell>
          <cell r="G48">
            <v>0.21048000947219478</v>
          </cell>
        </row>
        <row r="49">
          <cell r="B49" t="str">
            <v>LG Uplus</v>
          </cell>
          <cell r="D49">
            <v>0.12778664944864915</v>
          </cell>
          <cell r="E49">
            <v>0.11548838214437185</v>
          </cell>
          <cell r="F49">
            <v>0.11792041235050967</v>
          </cell>
          <cell r="G49">
            <v>0.1235942348116023</v>
          </cell>
        </row>
        <row r="50">
          <cell r="B50" t="str">
            <v>Bharti Airtel</v>
          </cell>
          <cell r="D50">
            <v>4.3594780624995146E-2</v>
          </cell>
          <cell r="E50">
            <v>3.1080356924299366E-2</v>
          </cell>
          <cell r="F50">
            <v>3.7600203972593692E-2</v>
          </cell>
          <cell r="G50">
            <v>4.5040127712627158E-2</v>
          </cell>
        </row>
        <row r="51">
          <cell r="B51" t="str">
            <v>Reliance Industries</v>
          </cell>
          <cell r="D51">
            <v>1.0824350003623334E-2</v>
          </cell>
          <cell r="E51">
            <v>1.0338422530597595E-2</v>
          </cell>
          <cell r="F51">
            <v>1.2388430207719835E-2</v>
          </cell>
          <cell r="G51">
            <v>2.4888818321713101E-2</v>
          </cell>
        </row>
        <row r="52">
          <cell r="B52" t="str">
            <v>Vodafone IDEA</v>
          </cell>
          <cell r="D52"/>
          <cell r="E52"/>
          <cell r="F52"/>
          <cell r="G52"/>
        </row>
        <row r="53">
          <cell r="B53" t="str">
            <v>Telkom Indonesia</v>
          </cell>
          <cell r="D53">
            <v>6.0509695312289752E-2</v>
          </cell>
          <cell r="E53">
            <v>5.0033473698156583E-2</v>
          </cell>
          <cell r="F53">
            <v>4.7783170011816284E-2</v>
          </cell>
          <cell r="G53">
            <v>4.8827365726723061E-2</v>
          </cell>
        </row>
        <row r="54">
          <cell r="B54" t="str">
            <v>Indosat</v>
          </cell>
          <cell r="D54">
            <v>1.9542349654485095E-2</v>
          </cell>
          <cell r="E54">
            <v>3.1404508191707134E-2</v>
          </cell>
          <cell r="F54">
            <v>5.8658850997067143E-2</v>
          </cell>
          <cell r="G54">
            <v>6.9169423105785333E-2</v>
          </cell>
        </row>
        <row r="55">
          <cell r="B55" t="str">
            <v>XLSmart</v>
          </cell>
          <cell r="D55">
            <v>9.1946260933743387E-3</v>
          </cell>
          <cell r="E55">
            <v>-0.23076664364717242</v>
          </cell>
          <cell r="F55">
            <v>7.3693781319932369E-3</v>
          </cell>
          <cell r="G55">
            <v>2.3248697722541595E-2</v>
          </cell>
        </row>
        <row r="56">
          <cell r="B56" t="str">
            <v>Maxis</v>
          </cell>
          <cell r="D56">
            <v>7.6877804693761903E-2</v>
          </cell>
          <cell r="E56">
            <v>5.753799811855817E-2</v>
          </cell>
          <cell r="F56">
            <v>6.19058652535633E-2</v>
          </cell>
          <cell r="G56">
            <v>6.3856265113213337E-2</v>
          </cell>
        </row>
        <row r="57">
          <cell r="B57" t="str">
            <v>CelcomDigi</v>
          </cell>
          <cell r="D57">
            <v>4.7081213564525624E-2</v>
          </cell>
          <cell r="E57">
            <v>4.8384893598701011E-2</v>
          </cell>
          <cell r="F57">
            <v>5.4525485310262849E-2</v>
          </cell>
          <cell r="G57">
            <v>6.3625258339361529E-2</v>
          </cell>
        </row>
        <row r="58">
          <cell r="B58" t="str">
            <v>Axiata</v>
          </cell>
          <cell r="D58">
            <v>5.1011528225640569E-2</v>
          </cell>
          <cell r="E58">
            <v>2.4134486472346076E-2</v>
          </cell>
          <cell r="F58">
            <v>3.2910663371381009E-2</v>
          </cell>
          <cell r="G58">
            <v>6.0378409339033629E-2</v>
          </cell>
        </row>
        <row r="59">
          <cell r="B59" t="str">
            <v>AIS</v>
          </cell>
          <cell r="D59">
            <v>5.096538972799828E-2</v>
          </cell>
          <cell r="E59">
            <v>5.0762580606790099E-2</v>
          </cell>
          <cell r="F59">
            <v>6.247142637818516E-2</v>
          </cell>
          <cell r="G59">
            <v>6.5585555720367991E-2</v>
          </cell>
        </row>
        <row r="60">
          <cell r="B60" t="str">
            <v>TRUE</v>
          </cell>
          <cell r="D60">
            <v>4.4466495627514133E-2</v>
          </cell>
          <cell r="E60">
            <v>5.1693831497640008E-2</v>
          </cell>
          <cell r="F60">
            <v>8.3400232212230516E-2</v>
          </cell>
          <cell r="G60">
            <v>0.10067806723856934</v>
          </cell>
        </row>
        <row r="61">
          <cell r="B61" t="str">
            <v>VEON</v>
          </cell>
          <cell r="D61">
            <v>2.5749209342019151E-2</v>
          </cell>
          <cell r="E61">
            <v>5.2528755860452997E-2</v>
          </cell>
          <cell r="F61">
            <v>0.10985686992606859</v>
          </cell>
          <cell r="G61">
            <v>0.14041421531941065</v>
          </cell>
        </row>
        <row r="62">
          <cell r="B62" t="str">
            <v>Airtel Africa</v>
          </cell>
          <cell r="D62">
            <v>4.1325079858766565E-2</v>
          </cell>
          <cell r="E62">
            <v>3.7078751156216158E-2</v>
          </cell>
          <cell r="F62">
            <v>6.454946443382388E-2</v>
          </cell>
          <cell r="G62">
            <v>8.6075586110174074E-2</v>
          </cell>
        </row>
        <row r="63">
          <cell r="B63" t="str">
            <v>MTN</v>
          </cell>
          <cell r="D63">
            <v>-3.9719076383224521E-2</v>
          </cell>
          <cell r="E63">
            <v>2.6395025087670623E-2</v>
          </cell>
          <cell r="F63">
            <v>4.6255074455258428E-2</v>
          </cell>
          <cell r="G63">
            <v>6.3064187059711868E-2</v>
          </cell>
        </row>
        <row r="64">
          <cell r="B64" t="str">
            <v>Safaricom</v>
          </cell>
          <cell r="D64">
            <v>1.1477430739470043E-2</v>
          </cell>
          <cell r="E64">
            <v>3.3545616502988262E-2</v>
          </cell>
          <cell r="F64">
            <v>3.7902294310440433E-2</v>
          </cell>
          <cell r="G64">
            <v>4.2385966043972656E-2</v>
          </cell>
        </row>
        <row r="65">
          <cell r="B65" t="str">
            <v>Vodacom</v>
          </cell>
          <cell r="D65">
            <v>5.8585039582928905E-2</v>
          </cell>
          <cell r="E65">
            <v>6.9649578920396221E-2</v>
          </cell>
          <cell r="F65">
            <v>7.8504377413921189E-2</v>
          </cell>
          <cell r="G65">
            <v>9.1800483465341115E-2</v>
          </cell>
        </row>
        <row r="66">
          <cell r="B66" t="str">
            <v>America Movil</v>
          </cell>
          <cell r="D66">
            <v>1.424194451050906E-2</v>
          </cell>
          <cell r="E66">
            <v>7.7054711690599395E-2</v>
          </cell>
          <cell r="F66">
            <v>8.4878864002042059E-2</v>
          </cell>
          <cell r="G66">
            <v>9.0647902000867128E-2</v>
          </cell>
        </row>
        <row r="67">
          <cell r="B67" t="str">
            <v>Liberty Latin America</v>
          </cell>
          <cell r="D67">
            <v>-1.4067040553797289E-2</v>
          </cell>
          <cell r="E67">
            <v>8.7976778402963904E-2</v>
          </cell>
          <cell r="F67">
            <v>0.19049461928715297</v>
          </cell>
          <cell r="G67">
            <v>0.23539347204699301</v>
          </cell>
        </row>
        <row r="68">
          <cell r="B68" t="str">
            <v>Millicom</v>
          </cell>
          <cell r="D68">
            <v>8.8999669865714393E-2</v>
          </cell>
          <cell r="E68">
            <v>9.2696940567060723E-2</v>
          </cell>
          <cell r="F68">
            <v>9.517283386630121E-2</v>
          </cell>
          <cell r="G68">
            <v>9.9661514187705691E-2</v>
          </cell>
        </row>
        <row r="69">
          <cell r="B69" t="str">
            <v>TIM Participacoes</v>
          </cell>
          <cell r="D69">
            <v>7.1127188050459034E-2</v>
          </cell>
          <cell r="E69">
            <v>8.0338360464201355E-2</v>
          </cell>
          <cell r="F69">
            <v>0.10182240537856503</v>
          </cell>
          <cell r="G69">
            <v>0.11751521303584715</v>
          </cell>
        </row>
        <row r="70">
          <cell r="B70" t="str">
            <v>Vivo</v>
          </cell>
          <cell r="D70">
            <v>7.8714393614570971E-2</v>
          </cell>
          <cell r="E70">
            <v>7.6970631561552524E-2</v>
          </cell>
          <cell r="F70">
            <v>0.10430479423175812</v>
          </cell>
          <cell r="G70">
            <v>0.12361435054920834</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Theme1">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NewStreet Research">
      <a:majorFont>
        <a:latin typeface="Helvetica Neue"/>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6E9D615-2DDF-4C7F-82CE-EA3EF057071A}">
  <we:reference id="wa200001456" version="3.0.0.0" store="en-US" storeType="OMEX"/>
  <we:alternateReferences>
    <we:reference id="WA200001456" version="3.0.0.0" store=""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FDS</we:customFunctionIds>
        <we:customFunctionIds>FDSN</we:customFunctionIds>
        <we:customFunctionIds>FDSZ</we:customFunctionIds>
        <we:customFunctionIds>FDSB</we:customFunctionIds>
        <we:customFunctionIds>FDSC</we:customFunctionIds>
        <we:customFunctionIds>FDSR</we:customFunctionIds>
        <we:customFunctionIds>FDSRN</we:customFunctionIds>
        <we:customFunctionIds>FDSRZ</we:customFunctionIds>
        <we:customFunctionIds>FDSRB</we:customFunctionIds>
        <we:customFunctionIds>FDSRC</we:customFunctionIds>
        <we:customFunctionIds>FDSLIVE</we:customFunctionIds>
        <we:customFunctionIds>FactSetLive.RTDFunction.1.FDSLIVE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hyperlink" Target="https://en.interfax.com.ua/news/economic/1059527.html"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opendatabot.ua/c/44293344"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hyperlink" Target="https://www.spectrum-tracker.com/Ukraine/Kyivstar" TargetMode="External"/><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hyperlink" Target="mailto:kelvin@newstreetresearch.com" TargetMode="External"/><Relationship Id="rId2" Type="http://schemas.openxmlformats.org/officeDocument/2006/relationships/hyperlink" Target="mailto:david@newstreetresearch.com" TargetMode="External"/><Relationship Id="rId1" Type="http://schemas.openxmlformats.org/officeDocument/2006/relationships/hyperlink" Target="mailto:chris@newstreetresearch.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EE26-51E2-486E-BF09-D79112B655B9}">
  <dimension ref="A1:B2"/>
  <sheetViews>
    <sheetView workbookViewId="0"/>
  </sheetViews>
  <sheetFormatPr defaultRowHeight="12.75" x14ac:dyDescent="0.2"/>
  <sheetData>
    <row r="1" spans="1:2" x14ac:dyDescent="0.2">
      <c r="B1" t="s">
        <v>479</v>
      </c>
    </row>
    <row r="2" spans="1:2" x14ac:dyDescent="0.2"/>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00FD-8D45-45B5-A6D2-B725239FDC8A}">
  <dimension ref="A5:W88"/>
  <sheetViews>
    <sheetView zoomScale="85" zoomScaleNormal="85" workbookViewId="0"/>
  </sheetViews>
  <sheetFormatPr defaultRowHeight="12.75" x14ac:dyDescent="0.2"/>
  <cols>
    <col min="2" max="2" width="12.42578125" bestFit="1" customWidth="1"/>
    <col min="19" max="19" width="11.140625" bestFit="1" customWidth="1"/>
  </cols>
  <sheetData>
    <row r="5" spans="23:23" x14ac:dyDescent="0.2">
      <c r="W5" t="s">
        <v>641</v>
      </c>
    </row>
    <row r="41" spans="1:20" x14ac:dyDescent="0.2">
      <c r="A41" s="317" t="s">
        <v>618</v>
      </c>
    </row>
    <row r="46" spans="1:20" x14ac:dyDescent="0.2">
      <c r="T46" s="317" t="s">
        <v>964</v>
      </c>
    </row>
    <row r="47" spans="1:20" x14ac:dyDescent="0.2">
      <c r="O47" t="s">
        <v>118</v>
      </c>
      <c r="P47">
        <v>3325</v>
      </c>
      <c r="Q47" s="320">
        <f>P47/P$51</f>
        <v>0.8062560620756547</v>
      </c>
      <c r="T47" s="498"/>
    </row>
    <row r="48" spans="1:20" x14ac:dyDescent="0.2">
      <c r="O48" t="s">
        <v>164</v>
      </c>
      <c r="P48">
        <v>230</v>
      </c>
      <c r="Q48" s="320">
        <f t="shared" ref="Q48:Q50" si="0">P48/P$51</f>
        <v>5.5771096023278371E-2</v>
      </c>
      <c r="T48" s="498"/>
    </row>
    <row r="49" spans="15:21" x14ac:dyDescent="0.2">
      <c r="O49" t="s">
        <v>963</v>
      </c>
      <c r="P49">
        <v>561</v>
      </c>
      <c r="Q49" s="320">
        <f t="shared" si="0"/>
        <v>0.13603297769156159</v>
      </c>
      <c r="S49" t="s">
        <v>963</v>
      </c>
      <c r="T49" s="498">
        <f>24*10^6/P49</f>
        <v>42780.748663101607</v>
      </c>
      <c r="U49" t="s">
        <v>965</v>
      </c>
    </row>
    <row r="50" spans="15:21" x14ac:dyDescent="0.2">
      <c r="O50" t="s">
        <v>581</v>
      </c>
      <c r="P50">
        <v>8</v>
      </c>
      <c r="Q50" s="320">
        <f t="shared" si="0"/>
        <v>1.9398642095053346E-3</v>
      </c>
      <c r="S50" t="s">
        <v>966</v>
      </c>
      <c r="T50" s="498">
        <f>2835*10^6/13000/1.33</f>
        <v>163967.61133603237</v>
      </c>
    </row>
    <row r="51" spans="15:21" x14ac:dyDescent="0.2">
      <c r="P51">
        <f>SUM(P47:P50)</f>
        <v>4124</v>
      </c>
      <c r="S51" s="498"/>
    </row>
    <row r="81" spans="1:4" x14ac:dyDescent="0.2">
      <c r="A81" s="317" t="s">
        <v>619</v>
      </c>
    </row>
    <row r="83" spans="1:4" x14ac:dyDescent="0.2">
      <c r="B83" s="317" t="s">
        <v>118</v>
      </c>
      <c r="C83" t="s">
        <v>620</v>
      </c>
      <c r="D83" s="1" t="s">
        <v>652</v>
      </c>
    </row>
    <row r="84" spans="1:4" x14ac:dyDescent="0.2">
      <c r="B84" s="317" t="s">
        <v>165</v>
      </c>
      <c r="D84" t="s">
        <v>791</v>
      </c>
    </row>
    <row r="85" spans="1:4" x14ac:dyDescent="0.2">
      <c r="B85" s="317" t="s">
        <v>621</v>
      </c>
      <c r="C85" t="s">
        <v>622</v>
      </c>
      <c r="D85" t="s">
        <v>630</v>
      </c>
    </row>
    <row r="86" spans="1:4" x14ac:dyDescent="0.2">
      <c r="B86" s="317" t="s">
        <v>164</v>
      </c>
      <c r="C86" t="s">
        <v>628</v>
      </c>
      <c r="D86" t="s">
        <v>625</v>
      </c>
    </row>
    <row r="87" spans="1:4" x14ac:dyDescent="0.2">
      <c r="B87" s="317" t="s">
        <v>623</v>
      </c>
      <c r="C87" t="s">
        <v>624</v>
      </c>
    </row>
    <row r="88" spans="1:4" x14ac:dyDescent="0.2">
      <c r="B88" s="317" t="s">
        <v>626</v>
      </c>
      <c r="C88" t="s">
        <v>627</v>
      </c>
      <c r="D88" t="s">
        <v>629</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43BE-6A1E-4252-BD62-1A77254ED539}">
  <dimension ref="B2:E52"/>
  <sheetViews>
    <sheetView zoomScale="85" zoomScaleNormal="85" workbookViewId="0">
      <pane xSplit="2" ySplit="4" topLeftCell="C5" activePane="bottomRight" state="frozen"/>
      <selection pane="topRight" activeCell="C1" sqref="C1"/>
      <selection pane="bottomLeft" activeCell="A5" sqref="A5"/>
      <selection pane="bottomRight" activeCell="C29" sqref="C29"/>
    </sheetView>
  </sheetViews>
  <sheetFormatPr defaultColWidth="8.85546875" defaultRowHeight="12.75" x14ac:dyDescent="0.2"/>
  <cols>
    <col min="1" max="1" width="8.85546875" style="1"/>
    <col min="2" max="2" width="8.85546875" style="352"/>
    <col min="3" max="4" width="65.140625" style="362" customWidth="1"/>
    <col min="5" max="16384" width="8.85546875" style="1"/>
  </cols>
  <sheetData>
    <row r="2" spans="2:5" x14ac:dyDescent="0.2">
      <c r="B2" s="348" t="s">
        <v>471</v>
      </c>
    </row>
    <row r="4" spans="2:5" x14ac:dyDescent="0.2">
      <c r="C4" s="495" t="s">
        <v>751</v>
      </c>
      <c r="D4" s="495" t="s">
        <v>752</v>
      </c>
    </row>
    <row r="5" spans="2:5" ht="25.5" x14ac:dyDescent="0.2">
      <c r="B5" s="348" t="s">
        <v>162</v>
      </c>
      <c r="C5" s="496" t="s">
        <v>643</v>
      </c>
      <c r="D5" s="496"/>
    </row>
    <row r="6" spans="2:5" x14ac:dyDescent="0.2">
      <c r="C6" s="497" t="s">
        <v>642</v>
      </c>
      <c r="D6" s="497" t="s">
        <v>753</v>
      </c>
      <c r="E6" s="1" t="s">
        <v>767</v>
      </c>
    </row>
    <row r="7" spans="2:5" ht="25.5" x14ac:dyDescent="0.2">
      <c r="C7" s="497" t="s">
        <v>616</v>
      </c>
      <c r="D7" s="497"/>
    </row>
    <row r="8" spans="2:5" ht="25.5" x14ac:dyDescent="0.2">
      <c r="C8" s="497" t="s">
        <v>645</v>
      </c>
      <c r="D8" s="497" t="s">
        <v>1075</v>
      </c>
      <c r="E8" s="446" t="s">
        <v>762</v>
      </c>
    </row>
    <row r="9" spans="2:5" x14ac:dyDescent="0.2">
      <c r="C9" s="497"/>
      <c r="D9" s="497"/>
    </row>
    <row r="10" spans="2:5" x14ac:dyDescent="0.2">
      <c r="C10" s="499" t="s">
        <v>754</v>
      </c>
      <c r="D10" s="497"/>
    </row>
    <row r="11" spans="2:5" ht="38.25" x14ac:dyDescent="0.2">
      <c r="C11" s="497" t="s">
        <v>164</v>
      </c>
      <c r="D11" s="497" t="s">
        <v>755</v>
      </c>
    </row>
    <row r="12" spans="2:5" x14ac:dyDescent="0.2">
      <c r="C12" s="497"/>
      <c r="D12" s="497" t="s">
        <v>757</v>
      </c>
    </row>
    <row r="13" spans="2:5" ht="25.5" x14ac:dyDescent="0.2">
      <c r="C13" s="497"/>
      <c r="D13" s="497" t="s">
        <v>758</v>
      </c>
    </row>
    <row r="14" spans="2:5" x14ac:dyDescent="0.2">
      <c r="C14" s="497"/>
      <c r="D14" s="497" t="s">
        <v>759</v>
      </c>
    </row>
    <row r="15" spans="2:5" ht="25.5" x14ac:dyDescent="0.2">
      <c r="C15" s="497"/>
      <c r="D15" s="497" t="s">
        <v>760</v>
      </c>
    </row>
    <row r="16" spans="2:5" x14ac:dyDescent="0.2">
      <c r="C16" s="497"/>
      <c r="D16" s="497"/>
    </row>
    <row r="17" spans="2:4" x14ac:dyDescent="0.2">
      <c r="C17" s="497"/>
      <c r="D17" s="497"/>
    </row>
    <row r="18" spans="2:4" x14ac:dyDescent="0.2">
      <c r="C18" s="497" t="s">
        <v>165</v>
      </c>
      <c r="D18" s="497" t="s">
        <v>756</v>
      </c>
    </row>
    <row r="19" spans="2:4" x14ac:dyDescent="0.2">
      <c r="C19" s="497"/>
      <c r="D19" s="497"/>
    </row>
    <row r="20" spans="2:4" x14ac:dyDescent="0.2">
      <c r="C20" s="499"/>
      <c r="D20" s="497"/>
    </row>
    <row r="21" spans="2:4" x14ac:dyDescent="0.2">
      <c r="C21" s="499" t="s">
        <v>761</v>
      </c>
      <c r="D21" s="497"/>
    </row>
    <row r="22" spans="2:4" ht="25.5" x14ac:dyDescent="0.2">
      <c r="C22" s="497"/>
      <c r="D22" s="497" t="s">
        <v>763</v>
      </c>
    </row>
    <row r="23" spans="2:4" x14ac:dyDescent="0.2">
      <c r="C23" s="497"/>
      <c r="D23" s="497" t="s">
        <v>764</v>
      </c>
    </row>
    <row r="24" spans="2:4" ht="51" x14ac:dyDescent="0.2">
      <c r="C24" s="497" t="s">
        <v>765</v>
      </c>
      <c r="D24" s="497" t="s">
        <v>766</v>
      </c>
    </row>
    <row r="25" spans="2:4" x14ac:dyDescent="0.2">
      <c r="C25" s="497"/>
      <c r="D25" s="497"/>
    </row>
    <row r="26" spans="2:4" ht="25.5" x14ac:dyDescent="0.2">
      <c r="B26" s="352" t="s">
        <v>997</v>
      </c>
      <c r="C26" s="497" t="s">
        <v>1009</v>
      </c>
      <c r="D26" s="497"/>
    </row>
    <row r="27" spans="2:4" x14ac:dyDescent="0.2">
      <c r="C27" s="497"/>
      <c r="D27" s="497"/>
    </row>
    <row r="28" spans="2:4" x14ac:dyDescent="0.2">
      <c r="C28" s="497"/>
      <c r="D28" s="497"/>
    </row>
    <row r="29" spans="2:4" x14ac:dyDescent="0.2">
      <c r="C29" s="497"/>
      <c r="D29" s="497"/>
    </row>
    <row r="30" spans="2:4" ht="25.5" x14ac:dyDescent="0.2">
      <c r="B30" s="352" t="s">
        <v>162</v>
      </c>
      <c r="C30" s="500" t="s">
        <v>968</v>
      </c>
      <c r="D30" s="497"/>
    </row>
    <row r="31" spans="2:4" ht="38.25" x14ac:dyDescent="0.2">
      <c r="B31" s="352" t="s">
        <v>162</v>
      </c>
      <c r="C31" s="497" t="s">
        <v>967</v>
      </c>
      <c r="D31" s="497"/>
    </row>
    <row r="32" spans="2:4" ht="25.5" x14ac:dyDescent="0.2">
      <c r="B32" s="352" t="s">
        <v>162</v>
      </c>
      <c r="C32" s="497" t="s">
        <v>992</v>
      </c>
      <c r="D32" s="497"/>
    </row>
    <row r="33" spans="2:4" x14ac:dyDescent="0.2">
      <c r="C33" s="497"/>
      <c r="D33" s="497"/>
    </row>
    <row r="34" spans="2:4" ht="25.5" x14ac:dyDescent="0.2">
      <c r="B34" s="352" t="s">
        <v>991</v>
      </c>
      <c r="C34" s="497" t="s">
        <v>1030</v>
      </c>
      <c r="D34" s="497"/>
    </row>
    <row r="35" spans="2:4" x14ac:dyDescent="0.2">
      <c r="C35" s="497"/>
      <c r="D35" s="497"/>
    </row>
    <row r="36" spans="2:4" x14ac:dyDescent="0.2">
      <c r="C36" s="497"/>
      <c r="D36" s="497"/>
    </row>
    <row r="37" spans="2:4" x14ac:dyDescent="0.2">
      <c r="C37" s="497"/>
      <c r="D37" s="497"/>
    </row>
    <row r="38" spans="2:4" x14ac:dyDescent="0.2">
      <c r="C38" s="497"/>
      <c r="D38" s="497"/>
    </row>
    <row r="39" spans="2:4" x14ac:dyDescent="0.2">
      <c r="B39" s="352" t="s">
        <v>1031</v>
      </c>
      <c r="C39" s="497" t="s">
        <v>1032</v>
      </c>
      <c r="D39" s="497"/>
    </row>
    <row r="40" spans="2:4" x14ac:dyDescent="0.2">
      <c r="C40" s="497"/>
      <c r="D40" s="497"/>
    </row>
    <row r="41" spans="2:4" x14ac:dyDescent="0.2">
      <c r="C41" s="497"/>
      <c r="D41" s="497"/>
    </row>
    <row r="42" spans="2:4" x14ac:dyDescent="0.2">
      <c r="C42" s="497"/>
      <c r="D42" s="497"/>
    </row>
    <row r="43" spans="2:4" x14ac:dyDescent="0.2">
      <c r="C43" s="497"/>
      <c r="D43" s="497"/>
    </row>
    <row r="44" spans="2:4" x14ac:dyDescent="0.2">
      <c r="C44" s="497"/>
      <c r="D44" s="497"/>
    </row>
    <row r="45" spans="2:4" x14ac:dyDescent="0.2">
      <c r="C45" s="497"/>
      <c r="D45" s="497"/>
    </row>
    <row r="46" spans="2:4" x14ac:dyDescent="0.2">
      <c r="C46" s="497"/>
      <c r="D46" s="497"/>
    </row>
    <row r="47" spans="2:4" x14ac:dyDescent="0.2">
      <c r="C47" s="497"/>
      <c r="D47" s="497"/>
    </row>
    <row r="48" spans="2:4" x14ac:dyDescent="0.2">
      <c r="C48" s="497"/>
      <c r="D48" s="497"/>
    </row>
    <row r="49" spans="3:4" x14ac:dyDescent="0.2">
      <c r="C49" s="497"/>
      <c r="D49" s="497"/>
    </row>
    <row r="50" spans="3:4" x14ac:dyDescent="0.2">
      <c r="C50" s="497"/>
      <c r="D50" s="497"/>
    </row>
    <row r="51" spans="3:4" x14ac:dyDescent="0.2">
      <c r="C51" s="497"/>
      <c r="D51" s="497"/>
    </row>
    <row r="52" spans="3:4" x14ac:dyDescent="0.2">
      <c r="C52" s="497"/>
      <c r="D52" s="497"/>
    </row>
  </sheetData>
  <hyperlinks>
    <hyperlink ref="E8" r:id="rId1" xr:uid="{E6BDE6C1-A2C5-41D8-80CC-FA2560BEC00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618A-405B-484E-B121-756DCCC62ED5}">
  <dimension ref="A2:R66"/>
  <sheetViews>
    <sheetView workbookViewId="0">
      <pane xSplit="2" ySplit="2" topLeftCell="D3" activePane="bottomRight" state="frozen"/>
      <selection pane="topRight" activeCell="C1" sqref="C1"/>
      <selection pane="bottomLeft" activeCell="A3" sqref="A3"/>
      <selection pane="bottomRight" activeCell="F21" sqref="F21"/>
    </sheetView>
  </sheetViews>
  <sheetFormatPr defaultColWidth="8.85546875" defaultRowHeight="12.75" x14ac:dyDescent="0.2"/>
  <cols>
    <col min="1" max="1" width="8.85546875" style="3"/>
    <col min="2" max="2" width="25.85546875" style="3" customWidth="1"/>
    <col min="3" max="3" width="16.42578125" style="3" bestFit="1" customWidth="1"/>
    <col min="4" max="4" width="10.42578125" style="3" bestFit="1" customWidth="1"/>
    <col min="5" max="5" width="10.7109375" style="3" bestFit="1" customWidth="1"/>
    <col min="6" max="6" width="11.85546875" style="3" bestFit="1" customWidth="1"/>
    <col min="7" max="16384" width="8.85546875" style="3"/>
  </cols>
  <sheetData>
    <row r="2" spans="1:18" x14ac:dyDescent="0.2">
      <c r="B2" s="2" t="s">
        <v>167</v>
      </c>
    </row>
    <row r="4" spans="1:18" x14ac:dyDescent="0.2">
      <c r="A4" s="3" t="s">
        <v>22</v>
      </c>
      <c r="B4" s="3" t="s">
        <v>451</v>
      </c>
      <c r="C4" s="3" t="s">
        <v>452</v>
      </c>
    </row>
    <row r="5" spans="1:18" x14ac:dyDescent="0.2">
      <c r="C5" s="3" t="s">
        <v>768</v>
      </c>
    </row>
    <row r="6" spans="1:18" x14ac:dyDescent="0.2">
      <c r="C6" s="3" t="s">
        <v>771</v>
      </c>
    </row>
    <row r="7" spans="1:18" x14ac:dyDescent="0.2">
      <c r="C7" s="3" t="s">
        <v>770</v>
      </c>
    </row>
    <row r="8" spans="1:18" x14ac:dyDescent="0.2">
      <c r="C8" s="3" t="s">
        <v>772</v>
      </c>
    </row>
    <row r="9" spans="1:18" x14ac:dyDescent="0.2">
      <c r="C9" s="3" t="s">
        <v>773</v>
      </c>
    </row>
    <row r="11" spans="1:18" x14ac:dyDescent="0.2">
      <c r="A11" s="3" t="s">
        <v>22</v>
      </c>
      <c r="B11" s="3" t="s">
        <v>776</v>
      </c>
    </row>
    <row r="12" spans="1:18" x14ac:dyDescent="0.2">
      <c r="C12" s="3">
        <v>2015</v>
      </c>
      <c r="D12" s="3">
        <f>C12+1</f>
        <v>2016</v>
      </c>
      <c r="E12" s="3">
        <f t="shared" ref="E12:R12" si="0">D12+1</f>
        <v>2017</v>
      </c>
      <c r="F12" s="3">
        <f t="shared" si="0"/>
        <v>2018</v>
      </c>
      <c r="G12" s="3">
        <f t="shared" si="0"/>
        <v>2019</v>
      </c>
      <c r="H12" s="3">
        <f t="shared" si="0"/>
        <v>2020</v>
      </c>
      <c r="I12" s="3">
        <f t="shared" si="0"/>
        <v>2021</v>
      </c>
      <c r="J12" s="3">
        <f t="shared" si="0"/>
        <v>2022</v>
      </c>
      <c r="K12" s="3">
        <f t="shared" si="0"/>
        <v>2023</v>
      </c>
      <c r="L12" s="3">
        <f t="shared" si="0"/>
        <v>2024</v>
      </c>
      <c r="M12" s="3">
        <f t="shared" si="0"/>
        <v>2025</v>
      </c>
      <c r="N12" s="3">
        <f t="shared" si="0"/>
        <v>2026</v>
      </c>
      <c r="O12" s="3">
        <f t="shared" si="0"/>
        <v>2027</v>
      </c>
      <c r="P12" s="3">
        <f t="shared" si="0"/>
        <v>2028</v>
      </c>
      <c r="Q12" s="3">
        <f t="shared" si="0"/>
        <v>2029</v>
      </c>
      <c r="R12" s="3">
        <f t="shared" si="0"/>
        <v>2030</v>
      </c>
    </row>
    <row r="13" spans="1:18" x14ac:dyDescent="0.2">
      <c r="B13" s="3" t="s">
        <v>777</v>
      </c>
      <c r="C13" s="406">
        <v>0.15</v>
      </c>
      <c r="D13" s="406">
        <v>0.21</v>
      </c>
      <c r="F13" s="406"/>
      <c r="M13" s="406">
        <v>0.27</v>
      </c>
      <c r="R13" s="406">
        <v>0.3</v>
      </c>
    </row>
    <row r="15" spans="1:18" x14ac:dyDescent="0.2">
      <c r="A15" s="3" t="s">
        <v>22</v>
      </c>
      <c r="B15" s="3" t="s">
        <v>779</v>
      </c>
      <c r="C15" s="3" t="s">
        <v>783</v>
      </c>
      <c r="D15" s="3">
        <v>2023</v>
      </c>
      <c r="E15" s="3">
        <v>2024</v>
      </c>
    </row>
    <row r="16" spans="1:18" x14ac:dyDescent="0.2">
      <c r="C16" s="3" t="s">
        <v>171</v>
      </c>
      <c r="D16" s="3">
        <v>150</v>
      </c>
      <c r="E16" s="3">
        <v>171</v>
      </c>
    </row>
    <row r="17" spans="1:6" x14ac:dyDescent="0.2">
      <c r="C17" s="3" t="s">
        <v>780</v>
      </c>
      <c r="D17" s="3">
        <v>9448</v>
      </c>
      <c r="E17" s="3">
        <v>11273</v>
      </c>
      <c r="F17" s="3" t="s">
        <v>785</v>
      </c>
    </row>
    <row r="18" spans="1:6" x14ac:dyDescent="0.2">
      <c r="C18" s="3" t="s">
        <v>784</v>
      </c>
      <c r="D18" s="3">
        <v>137865</v>
      </c>
      <c r="E18" s="3">
        <v>162773</v>
      </c>
    </row>
    <row r="21" spans="1:6" x14ac:dyDescent="0.2">
      <c r="C21" s="3" t="s">
        <v>781</v>
      </c>
      <c r="D21" s="176">
        <f>D17/D16</f>
        <v>62.986666666666665</v>
      </c>
      <c r="E21" s="176">
        <f>E17/E16</f>
        <v>65.923976608187132</v>
      </c>
      <c r="F21" s="3">
        <f>E21/D21-1</f>
        <v>4.6633836920837224E-2</v>
      </c>
    </row>
    <row r="22" spans="1:6" x14ac:dyDescent="0.2">
      <c r="C22" s="3" t="s">
        <v>782</v>
      </c>
      <c r="D22" s="176">
        <f>D18/D17</f>
        <v>14.591977138018628</v>
      </c>
      <c r="E22" s="176">
        <f>E18/E17</f>
        <v>14.439190987314824</v>
      </c>
    </row>
    <row r="23" spans="1:6" x14ac:dyDescent="0.2">
      <c r="D23" s="176"/>
      <c r="E23" s="176"/>
    </row>
    <row r="24" spans="1:6" x14ac:dyDescent="0.2">
      <c r="D24" s="176"/>
      <c r="E24" s="176"/>
    </row>
    <row r="25" spans="1:6" x14ac:dyDescent="0.2">
      <c r="D25" s="176"/>
      <c r="E25" s="176"/>
    </row>
    <row r="27" spans="1:6" x14ac:dyDescent="0.2">
      <c r="A27" s="3" t="s">
        <v>22</v>
      </c>
      <c r="B27" s="3" t="s">
        <v>287</v>
      </c>
      <c r="C27" s="280" t="s">
        <v>288</v>
      </c>
    </row>
    <row r="28" spans="1:6" x14ac:dyDescent="0.2">
      <c r="C28" s="3" t="s">
        <v>769</v>
      </c>
    </row>
    <row r="29" spans="1:6" x14ac:dyDescent="0.2">
      <c r="C29" s="280" t="s">
        <v>774</v>
      </c>
    </row>
    <row r="30" spans="1:6" x14ac:dyDescent="0.2">
      <c r="C30" s="280"/>
    </row>
    <row r="31" spans="1:6" x14ac:dyDescent="0.2">
      <c r="C31" s="3" t="s">
        <v>453</v>
      </c>
    </row>
    <row r="32" spans="1:6" x14ac:dyDescent="0.2">
      <c r="B32" s="142" t="s">
        <v>290</v>
      </c>
      <c r="C32" s="167">
        <v>2021</v>
      </c>
      <c r="D32" s="167">
        <v>2022</v>
      </c>
      <c r="E32" s="167">
        <v>2023</v>
      </c>
      <c r="F32" s="167">
        <v>2024</v>
      </c>
    </row>
    <row r="33" spans="2:12" x14ac:dyDescent="0.2">
      <c r="B33" s="166" t="s">
        <v>123</v>
      </c>
      <c r="C33" s="168">
        <v>219956400</v>
      </c>
      <c r="D33" s="168">
        <v>683616000</v>
      </c>
      <c r="E33" s="168">
        <v>851245000</v>
      </c>
      <c r="F33" s="168">
        <v>1717824000</v>
      </c>
      <c r="I33" s="3">
        <f>C33/10^6</f>
        <v>219.9564</v>
      </c>
      <c r="J33" s="3">
        <f t="shared" ref="J33:L33" si="1">D33/10^6</f>
        <v>683.61599999999999</v>
      </c>
      <c r="K33" s="3">
        <f t="shared" si="1"/>
        <v>851.245</v>
      </c>
      <c r="L33" s="3">
        <f t="shared" si="1"/>
        <v>1717.8240000000001</v>
      </c>
    </row>
    <row r="34" spans="2:12" x14ac:dyDescent="0.2">
      <c r="B34" s="166" t="s">
        <v>21</v>
      </c>
      <c r="C34" s="168">
        <v>-8728600</v>
      </c>
      <c r="D34" s="168">
        <v>59730800</v>
      </c>
      <c r="E34" s="168">
        <v>-45367000</v>
      </c>
      <c r="F34" s="168">
        <v>232300000</v>
      </c>
    </row>
    <row r="35" spans="2:12" x14ac:dyDescent="0.2">
      <c r="B35" s="166" t="s">
        <v>41</v>
      </c>
      <c r="C35" s="168">
        <v>43087500</v>
      </c>
      <c r="D35" s="168">
        <v>115161600</v>
      </c>
      <c r="E35" s="168">
        <v>57499000</v>
      </c>
      <c r="F35" s="168">
        <v>175427000</v>
      </c>
    </row>
    <row r="36" spans="2:12" x14ac:dyDescent="0.2">
      <c r="B36" s="166" t="s">
        <v>249</v>
      </c>
      <c r="C36" s="168">
        <v>50109900</v>
      </c>
      <c r="D36" s="168">
        <v>61687000</v>
      </c>
      <c r="E36" s="168">
        <v>48760000</v>
      </c>
      <c r="F36" s="168">
        <v>125945000</v>
      </c>
    </row>
    <row r="37" spans="2:12" x14ac:dyDescent="0.2">
      <c r="B37" s="166" t="s">
        <v>289</v>
      </c>
      <c r="C37" s="168">
        <v>80</v>
      </c>
      <c r="D37" s="168">
        <v>263</v>
      </c>
      <c r="E37" s="168">
        <v>272</v>
      </c>
      <c r="F37" s="168">
        <v>319</v>
      </c>
    </row>
    <row r="39" spans="2:12" x14ac:dyDescent="0.2">
      <c r="B39" s="37" t="s">
        <v>291</v>
      </c>
      <c r="C39" s="173"/>
      <c r="D39" s="173"/>
      <c r="E39" s="173"/>
      <c r="F39" s="173"/>
    </row>
    <row r="40" spans="2:12" x14ac:dyDescent="0.2">
      <c r="B40" s="173" t="s">
        <v>123</v>
      </c>
      <c r="C40" s="173"/>
      <c r="D40" s="174">
        <f>IFERROR(D33/C33-1,"")</f>
        <v>2.1079613959857499</v>
      </c>
      <c r="E40" s="174">
        <f t="shared" ref="E40:F40" si="2">IFERROR(E33/D33-1,"")</f>
        <v>0.24520929878762354</v>
      </c>
      <c r="F40" s="174">
        <f t="shared" si="2"/>
        <v>1.0180136153516322</v>
      </c>
    </row>
    <row r="41" spans="2:12" x14ac:dyDescent="0.2">
      <c r="B41" s="173" t="s">
        <v>21</v>
      </c>
      <c r="C41" s="173"/>
      <c r="D41" s="174">
        <f>IFERROR(D34/C34-1,"")</f>
        <v>-7.8431134431638521</v>
      </c>
      <c r="E41" s="174">
        <f t="shared" ref="E41:F41" si="3">IFERROR(E34/D34-1,"")</f>
        <v>-1.7595243994722991</v>
      </c>
      <c r="F41" s="174">
        <f t="shared" si="3"/>
        <v>-6.1204620098309341</v>
      </c>
    </row>
    <row r="42" spans="2:12" x14ac:dyDescent="0.2">
      <c r="B42" s="173"/>
      <c r="C42" s="173"/>
      <c r="D42" s="173"/>
      <c r="E42" s="173"/>
      <c r="F42" s="173"/>
    </row>
    <row r="43" spans="2:12" x14ac:dyDescent="0.2">
      <c r="B43" s="173" t="s">
        <v>276</v>
      </c>
      <c r="C43" s="174">
        <f>IFERROR(C34/C33,"")</f>
        <v>-3.9683319057776903E-2</v>
      </c>
      <c r="D43" s="174">
        <f t="shared" ref="D43:F43" si="4">IFERROR(D34/D33,"")</f>
        <v>8.7374783504189493E-2</v>
      </c>
      <c r="E43" s="174">
        <f t="shared" si="4"/>
        <v>-5.3294879852451411E-2</v>
      </c>
      <c r="F43" s="174">
        <f t="shared" si="4"/>
        <v>0.13522922022279349</v>
      </c>
    </row>
    <row r="44" spans="2:12" x14ac:dyDescent="0.2">
      <c r="B44" s="173" t="s">
        <v>292</v>
      </c>
      <c r="C44" s="175">
        <f>C33/C37</f>
        <v>2749455</v>
      </c>
      <c r="D44" s="175">
        <f t="shared" ref="D44:F44" si="5">D33/D37</f>
        <v>2599300.3802281367</v>
      </c>
      <c r="E44" s="175">
        <f t="shared" si="5"/>
        <v>3129577.2058823528</v>
      </c>
      <c r="F44" s="175">
        <f t="shared" si="5"/>
        <v>5385028.2131661437</v>
      </c>
    </row>
    <row r="46" spans="2:12" x14ac:dyDescent="0.2">
      <c r="B46" s="3" t="s">
        <v>294</v>
      </c>
      <c r="F46" s="3">
        <v>100</v>
      </c>
    </row>
    <row r="47" spans="2:12" x14ac:dyDescent="0.2">
      <c r="B47" s="3" t="s">
        <v>196</v>
      </c>
      <c r="F47" s="176">
        <f>F33/10^6/F46</f>
        <v>17.178240000000002</v>
      </c>
    </row>
    <row r="49" spans="2:10" x14ac:dyDescent="0.2">
      <c r="B49" s="2" t="s">
        <v>284</v>
      </c>
      <c r="C49" s="177">
        <f>Model!F37</f>
        <v>27.29</v>
      </c>
      <c r="D49" s="177">
        <f>Model!G37</f>
        <v>32.340000000000003</v>
      </c>
      <c r="E49" s="177">
        <f>Model!H37</f>
        <v>36.57</v>
      </c>
      <c r="F49" s="177">
        <f>Model!I37</f>
        <v>40.159999999999997</v>
      </c>
    </row>
    <row r="52" spans="2:10" x14ac:dyDescent="0.2">
      <c r="B52" s="142" t="s">
        <v>295</v>
      </c>
      <c r="C52" s="167">
        <v>2021</v>
      </c>
      <c r="D52" s="167">
        <v>2022</v>
      </c>
      <c r="E52" s="167">
        <v>2023</v>
      </c>
      <c r="F52" s="167">
        <v>2024</v>
      </c>
    </row>
    <row r="54" spans="2:10" x14ac:dyDescent="0.2">
      <c r="B54" s="3" t="s">
        <v>123</v>
      </c>
      <c r="C54" s="178">
        <f>(C33/C$49/10^6)</f>
        <v>8.059963356540857</v>
      </c>
      <c r="D54" s="178">
        <f t="shared" ref="D54:F54" si="6">(D33/D$49/10^6)</f>
        <v>21.138404452690164</v>
      </c>
      <c r="E54" s="178">
        <f t="shared" si="6"/>
        <v>23.277139732020782</v>
      </c>
      <c r="F54" s="178">
        <f t="shared" si="6"/>
        <v>42.77450199203188</v>
      </c>
      <c r="H54" s="3">
        <f>(F54/C54)^(1/3)-1</f>
        <v>0.74428440597571943</v>
      </c>
      <c r="J54" s="3" t="s">
        <v>296</v>
      </c>
    </row>
    <row r="55" spans="2:10" x14ac:dyDescent="0.2">
      <c r="B55" s="3" t="s">
        <v>124</v>
      </c>
      <c r="C55" s="178"/>
      <c r="D55" s="178"/>
      <c r="E55" s="178"/>
      <c r="F55" s="178"/>
    </row>
    <row r="56" spans="2:10" x14ac:dyDescent="0.2">
      <c r="B56" s="3" t="s">
        <v>21</v>
      </c>
      <c r="C56" s="178">
        <f>(C34/C$49/10^6)</f>
        <v>-0.31984609747160131</v>
      </c>
      <c r="D56" s="178">
        <f t="shared" ref="D56:F56" si="7">(D34/D$49/10^6)</f>
        <v>1.8469635126777983</v>
      </c>
      <c r="E56" s="178">
        <f t="shared" si="7"/>
        <v>-1.2405523653267705</v>
      </c>
      <c r="F56" s="178">
        <f t="shared" si="7"/>
        <v>5.7843625498007976</v>
      </c>
    </row>
    <row r="59" spans="2:10" ht="38.25" x14ac:dyDescent="0.2">
      <c r="B59" s="402" t="s">
        <v>454</v>
      </c>
    </row>
    <row r="61" spans="2:10" x14ac:dyDescent="0.2">
      <c r="B61" s="403" t="s">
        <v>455</v>
      </c>
      <c r="C61" s="404">
        <v>65</v>
      </c>
    </row>
    <row r="62" spans="2:10" ht="25.5" x14ac:dyDescent="0.2">
      <c r="B62" s="403" t="s">
        <v>456</v>
      </c>
      <c r="C62" s="405">
        <v>0.3</v>
      </c>
    </row>
    <row r="63" spans="2:10" x14ac:dyDescent="0.2">
      <c r="B63" s="403" t="s">
        <v>457</v>
      </c>
      <c r="C63" s="404" t="s">
        <v>458</v>
      </c>
    </row>
    <row r="64" spans="2:10" x14ac:dyDescent="0.2">
      <c r="B64" s="403" t="s">
        <v>459</v>
      </c>
      <c r="C64" s="404" t="s">
        <v>460</v>
      </c>
    </row>
    <row r="65" spans="2:3" ht="25.5" x14ac:dyDescent="0.2">
      <c r="B65" s="403" t="s">
        <v>461</v>
      </c>
      <c r="C65" s="404" t="s">
        <v>462</v>
      </c>
    </row>
    <row r="66" spans="2:3" ht="25.5" x14ac:dyDescent="0.2">
      <c r="B66" s="403" t="s">
        <v>463</v>
      </c>
      <c r="C66" s="404">
        <v>27</v>
      </c>
    </row>
  </sheetData>
  <hyperlinks>
    <hyperlink ref="C27" r:id="rId1" xr:uid="{3EE3BE3A-E85A-4CD7-80DB-254D36CBD8D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CF92-3FEC-4EFA-ABD1-0E025AF578DA}">
  <dimension ref="A2:Q189"/>
  <sheetViews>
    <sheetView topLeftCell="A122" zoomScale="70" zoomScaleNormal="70" workbookViewId="0">
      <selection activeCell="C138" sqref="C138"/>
    </sheetView>
  </sheetViews>
  <sheetFormatPr defaultColWidth="8.85546875" defaultRowHeight="12.75" x14ac:dyDescent="0.2"/>
  <cols>
    <col min="1" max="1" width="8.85546875" style="1"/>
    <col min="2" max="2" width="25.140625" style="1" bestFit="1" customWidth="1"/>
    <col min="3" max="5" width="10.85546875" style="1" bestFit="1" customWidth="1"/>
    <col min="6" max="6" width="8.85546875" style="1"/>
    <col min="7" max="7" width="10.85546875" style="1" bestFit="1" customWidth="1"/>
    <col min="8" max="8" width="8.85546875" style="1"/>
    <col min="9" max="10" width="16.85546875" style="1" bestFit="1" customWidth="1"/>
    <col min="11" max="16384" width="8.85546875" style="1"/>
  </cols>
  <sheetData>
    <row r="2" spans="1:9" x14ac:dyDescent="0.2">
      <c r="A2" s="1" t="s">
        <v>22</v>
      </c>
      <c r="B2" s="2" t="s">
        <v>1125</v>
      </c>
    </row>
    <row r="4" spans="1:9" x14ac:dyDescent="0.2">
      <c r="B4" s="142" t="s">
        <v>445</v>
      </c>
      <c r="C4" s="553" t="s">
        <v>1127</v>
      </c>
      <c r="D4" s="553" t="s">
        <v>1130</v>
      </c>
      <c r="E4" s="142">
        <v>2024</v>
      </c>
      <c r="F4" s="553" t="s">
        <v>1126</v>
      </c>
      <c r="G4" s="553" t="s">
        <v>829</v>
      </c>
      <c r="H4" s="142"/>
      <c r="I4" s="142" t="s">
        <v>1129</v>
      </c>
    </row>
    <row r="5" spans="1:9" x14ac:dyDescent="0.2">
      <c r="B5" s="1" t="s">
        <v>123</v>
      </c>
      <c r="C5" s="1">
        <v>421</v>
      </c>
      <c r="D5" s="145">
        <f>E5-C5</f>
        <v>498</v>
      </c>
      <c r="E5" s="145">
        <f>Model!I604</f>
        <v>919</v>
      </c>
      <c r="F5" s="1">
        <v>539</v>
      </c>
      <c r="G5" s="145">
        <f>Model!J604</f>
        <v>1032.5389246113527</v>
      </c>
      <c r="I5" s="52">
        <f>F5/G5</f>
        <v>0.5220142186919291</v>
      </c>
    </row>
    <row r="6" spans="1:9" x14ac:dyDescent="0.2">
      <c r="B6" s="1" t="s">
        <v>124</v>
      </c>
      <c r="C6" s="1">
        <v>232</v>
      </c>
      <c r="D6" s="145">
        <f t="shared" ref="D6" si="0">E6-C6</f>
        <v>283</v>
      </c>
      <c r="E6" s="145">
        <f>Model!I639</f>
        <v>515</v>
      </c>
      <c r="F6" s="1">
        <v>306</v>
      </c>
      <c r="G6" s="145">
        <f>Model!J639</f>
        <v>547.65010666301589</v>
      </c>
      <c r="I6" s="52">
        <f>F6/G6</f>
        <v>0.55875091829077317</v>
      </c>
    </row>
    <row r="7" spans="1:9" x14ac:dyDescent="0.2">
      <c r="B7" s="1" t="s">
        <v>35</v>
      </c>
      <c r="C7" s="1">
        <v>75</v>
      </c>
      <c r="D7" s="145">
        <f>E7-C7</f>
        <v>146</v>
      </c>
      <c r="E7" s="145">
        <f>Model!I396</f>
        <v>221</v>
      </c>
      <c r="F7" s="1">
        <v>134</v>
      </c>
      <c r="G7" s="145">
        <f>Model!J396</f>
        <v>238.39886056849463</v>
      </c>
      <c r="I7" s="52">
        <f>F7/G7</f>
        <v>0.56208322338646544</v>
      </c>
    </row>
    <row r="9" spans="1:9" x14ac:dyDescent="0.2">
      <c r="B9" s="1" t="s">
        <v>1128</v>
      </c>
      <c r="C9" s="1">
        <v>106.6</v>
      </c>
      <c r="D9" s="145">
        <f>E9*2-C9</f>
        <v>135.4</v>
      </c>
      <c r="E9" s="1">
        <f>Model!I91</f>
        <v>121</v>
      </c>
      <c r="F9" s="1">
        <v>143.19999999999999</v>
      </c>
      <c r="G9" s="1">
        <f>Model!J91</f>
        <v>145.19999999999999</v>
      </c>
    </row>
    <row r="11" spans="1:9" x14ac:dyDescent="0.2">
      <c r="B11" s="1" t="s">
        <v>273</v>
      </c>
      <c r="E11" s="145">
        <f>Model!I794</f>
        <v>894</v>
      </c>
      <c r="F11" s="1">
        <v>410</v>
      </c>
      <c r="G11" s="145">
        <f>Model!J794</f>
        <v>329</v>
      </c>
    </row>
    <row r="12" spans="1:9" x14ac:dyDescent="0.2">
      <c r="B12" s="1" t="s">
        <v>106</v>
      </c>
      <c r="E12" s="145">
        <f>-Model!I795</f>
        <v>674</v>
      </c>
      <c r="F12" s="1">
        <v>458</v>
      </c>
      <c r="G12" s="145">
        <f>-Model!J795</f>
        <v>654.98936795356803</v>
      </c>
    </row>
    <row r="13" spans="1:9" x14ac:dyDescent="0.2">
      <c r="B13" s="4" t="s">
        <v>272</v>
      </c>
      <c r="C13" s="4"/>
      <c r="D13" s="4"/>
      <c r="E13" s="562">
        <f>E11-E12</f>
        <v>220</v>
      </c>
      <c r="F13" s="4">
        <f>F11-F12</f>
        <v>-48</v>
      </c>
      <c r="G13" s="562">
        <f>G11-G12</f>
        <v>-325.98936795356803</v>
      </c>
    </row>
    <row r="15" spans="1:9" x14ac:dyDescent="0.2">
      <c r="B15" s="3" t="s">
        <v>154</v>
      </c>
      <c r="C15" s="52">
        <f>C6/C5</f>
        <v>0.55106888361045125</v>
      </c>
      <c r="D15" s="52">
        <f t="shared" ref="D15:G15" si="1">D6/D5</f>
        <v>0.56827309236947787</v>
      </c>
      <c r="E15" s="52">
        <f t="shared" si="1"/>
        <v>0.56039173014145816</v>
      </c>
      <c r="F15" s="52">
        <f t="shared" si="1"/>
        <v>0.56771799628942488</v>
      </c>
      <c r="G15" s="52">
        <f t="shared" si="1"/>
        <v>0.53039173014145802</v>
      </c>
    </row>
    <row r="16" spans="1:9" x14ac:dyDescent="0.2">
      <c r="B16" s="1" t="s">
        <v>492</v>
      </c>
      <c r="C16" s="52">
        <f>C7/C5</f>
        <v>0.17814726840855108</v>
      </c>
      <c r="D16" s="52">
        <f t="shared" ref="D16:G16" si="2">D7/D5</f>
        <v>0.29317269076305219</v>
      </c>
      <c r="E16" s="52">
        <f t="shared" si="2"/>
        <v>0.24047878128400435</v>
      </c>
      <c r="F16" s="52">
        <f t="shared" si="2"/>
        <v>0.24860853432282004</v>
      </c>
      <c r="G16" s="52">
        <f t="shared" si="2"/>
        <v>0.23088607594936711</v>
      </c>
    </row>
    <row r="23" spans="1:5" x14ac:dyDescent="0.2">
      <c r="A23" s="1" t="s">
        <v>22</v>
      </c>
      <c r="B23" s="1" t="s">
        <v>1020</v>
      </c>
    </row>
    <row r="24" spans="1:5" x14ac:dyDescent="0.2">
      <c r="B24" s="1" t="s">
        <v>1021</v>
      </c>
    </row>
    <row r="25" spans="1:5" x14ac:dyDescent="0.2">
      <c r="B25" s="1" t="s">
        <v>1022</v>
      </c>
    </row>
    <row r="32" spans="1:5" x14ac:dyDescent="0.2">
      <c r="C32" s="1" t="s">
        <v>1026</v>
      </c>
      <c r="D32" s="1" t="s">
        <v>1027</v>
      </c>
      <c r="E32" s="1" t="s">
        <v>1028</v>
      </c>
    </row>
    <row r="33" spans="1:14" x14ac:dyDescent="0.2">
      <c r="C33" s="146">
        <v>0</v>
      </c>
      <c r="D33" s="146">
        <v>0.5</v>
      </c>
      <c r="E33" s="146">
        <v>1</v>
      </c>
    </row>
    <row r="34" spans="1:14" x14ac:dyDescent="0.2">
      <c r="B34" s="1" t="s">
        <v>1023</v>
      </c>
      <c r="C34" s="1">
        <v>28.0275</v>
      </c>
      <c r="D34" s="1">
        <f>D35+D36</f>
        <v>16.5275</v>
      </c>
      <c r="E34" s="1">
        <v>9.8584180000000003</v>
      </c>
    </row>
    <row r="35" spans="1:14" x14ac:dyDescent="0.2">
      <c r="B35" s="61" t="s">
        <v>1024</v>
      </c>
      <c r="C35" s="1">
        <v>23</v>
      </c>
      <c r="D35" s="1">
        <f>$C$35*(1-D33)</f>
        <v>11.5</v>
      </c>
      <c r="E35" s="1">
        <f>E34-E36</f>
        <v>4.8309180000000005</v>
      </c>
      <c r="G35" s="1" t="s">
        <v>1029</v>
      </c>
    </row>
    <row r="36" spans="1:14" x14ac:dyDescent="0.2">
      <c r="B36" s="61" t="s">
        <v>1025</v>
      </c>
      <c r="C36" s="1">
        <f>C34-C35</f>
        <v>5.0274999999999999</v>
      </c>
      <c r="D36" s="1">
        <f>C36</f>
        <v>5.0274999999999999</v>
      </c>
      <c r="E36" s="1">
        <f>D36</f>
        <v>5.0274999999999999</v>
      </c>
    </row>
    <row r="40" spans="1:14" x14ac:dyDescent="0.2">
      <c r="A40" s="1" t="s">
        <v>22</v>
      </c>
      <c r="B40" s="37" t="s">
        <v>1015</v>
      </c>
      <c r="C40" s="6"/>
      <c r="D40" s="6"/>
      <c r="E40" s="6"/>
      <c r="F40" s="6"/>
      <c r="G40" s="6"/>
      <c r="H40" s="6"/>
      <c r="I40" s="6"/>
      <c r="J40" s="6"/>
      <c r="K40" s="6"/>
      <c r="L40" s="6"/>
      <c r="M40" s="6"/>
      <c r="N40" s="6"/>
    </row>
    <row r="41" spans="1:14" x14ac:dyDescent="0.2">
      <c r="B41" s="279">
        <f>Model!$J$37</f>
        <v>41.833333333333329</v>
      </c>
      <c r="C41" s="552" t="s">
        <v>406</v>
      </c>
      <c r="D41" s="552" t="s">
        <v>406</v>
      </c>
      <c r="E41" s="552" t="s">
        <v>295</v>
      </c>
      <c r="G41" s="552" t="s">
        <v>406</v>
      </c>
      <c r="H41" s="552" t="s">
        <v>406</v>
      </c>
    </row>
    <row r="42" spans="1:14" x14ac:dyDescent="0.2">
      <c r="B42" s="142"/>
      <c r="C42" s="553" t="s">
        <v>327</v>
      </c>
      <c r="D42" s="553" t="s">
        <v>331</v>
      </c>
      <c r="E42" s="553" t="s">
        <v>331</v>
      </c>
      <c r="F42" s="143"/>
      <c r="G42" s="142">
        <v>2023</v>
      </c>
      <c r="H42" s="142">
        <f>G42+1</f>
        <v>2024</v>
      </c>
    </row>
    <row r="43" spans="1:14" x14ac:dyDescent="0.2">
      <c r="B43" s="110" t="s">
        <v>164</v>
      </c>
      <c r="C43" s="145">
        <f>D43/(1+D50)</f>
        <v>98.000000000000014</v>
      </c>
      <c r="D43" s="145">
        <f>D55*D$47</f>
        <v>138.18</v>
      </c>
      <c r="E43" s="149">
        <f>D43/$B$41</f>
        <v>3.3031075697211159</v>
      </c>
      <c r="H43" s="1">
        <v>205.7</v>
      </c>
    </row>
    <row r="44" spans="1:14" x14ac:dyDescent="0.2">
      <c r="B44" s="110" t="s">
        <v>165</v>
      </c>
      <c r="C44" s="145">
        <f>D44/(1+D51)</f>
        <v>65.324909747292423</v>
      </c>
      <c r="D44" s="145">
        <f>D56*D$47</f>
        <v>180.95000000000002</v>
      </c>
      <c r="E44" s="149">
        <f t="shared" ref="E44:E47" si="3">D44/$B$41</f>
        <v>4.325498007968128</v>
      </c>
      <c r="H44" s="1">
        <v>208.9</v>
      </c>
    </row>
    <row r="45" spans="1:14" x14ac:dyDescent="0.2">
      <c r="B45" s="110" t="s">
        <v>166</v>
      </c>
      <c r="D45" s="145">
        <f>D57*D$47</f>
        <v>9.8699999999999903</v>
      </c>
      <c r="E45" s="149">
        <f t="shared" si="3"/>
        <v>0.23593625498007947</v>
      </c>
    </row>
    <row r="46" spans="1:14" x14ac:dyDescent="0.2">
      <c r="E46" s="149"/>
    </row>
    <row r="47" spans="1:14" x14ac:dyDescent="0.2">
      <c r="B47" s="2" t="s">
        <v>1016</v>
      </c>
      <c r="C47" s="2">
        <v>137</v>
      </c>
      <c r="D47" s="2">
        <v>329</v>
      </c>
      <c r="E47" s="554">
        <f t="shared" si="3"/>
        <v>7.8645418326693237</v>
      </c>
      <c r="H47" s="2">
        <v>880</v>
      </c>
    </row>
    <row r="49" spans="1:14" x14ac:dyDescent="0.2">
      <c r="B49" s="2" t="s">
        <v>1018</v>
      </c>
    </row>
    <row r="50" spans="1:14" x14ac:dyDescent="0.2">
      <c r="B50" s="110" t="s">
        <v>164</v>
      </c>
      <c r="D50" s="146">
        <v>0.41</v>
      </c>
      <c r="H50" s="555">
        <v>0.55200000000000005</v>
      </c>
    </row>
    <row r="51" spans="1:14" x14ac:dyDescent="0.2">
      <c r="B51" s="110" t="s">
        <v>165</v>
      </c>
      <c r="D51" s="146">
        <v>1.77</v>
      </c>
      <c r="H51" s="555">
        <v>0.97199999999999998</v>
      </c>
    </row>
    <row r="52" spans="1:14" x14ac:dyDescent="0.2">
      <c r="B52" s="110" t="s">
        <v>166</v>
      </c>
    </row>
    <row r="54" spans="1:14" x14ac:dyDescent="0.2">
      <c r="B54" s="2" t="s">
        <v>1017</v>
      </c>
    </row>
    <row r="55" spans="1:14" x14ac:dyDescent="0.2">
      <c r="B55" s="110" t="s">
        <v>164</v>
      </c>
      <c r="D55" s="146">
        <v>0.42</v>
      </c>
      <c r="E55" s="146">
        <v>0.42</v>
      </c>
    </row>
    <row r="56" spans="1:14" x14ac:dyDescent="0.2">
      <c r="B56" s="110" t="s">
        <v>165</v>
      </c>
      <c r="D56" s="146">
        <v>0.55000000000000004</v>
      </c>
      <c r="E56" s="146">
        <v>0.55000000000000004</v>
      </c>
    </row>
    <row r="57" spans="1:14" x14ac:dyDescent="0.2">
      <c r="B57" s="110" t="s">
        <v>166</v>
      </c>
      <c r="D57" s="146">
        <f>1-D56-D55</f>
        <v>2.9999999999999971E-2</v>
      </c>
      <c r="E57" s="146">
        <f>1-E56-E55</f>
        <v>2.9999999999999971E-2</v>
      </c>
    </row>
    <row r="61" spans="1:14" x14ac:dyDescent="0.2">
      <c r="A61" s="1" t="s">
        <v>22</v>
      </c>
      <c r="B61" s="37" t="s">
        <v>1002</v>
      </c>
      <c r="C61" s="6"/>
      <c r="D61" s="6"/>
      <c r="E61" s="6"/>
      <c r="F61" s="6"/>
      <c r="G61" s="6"/>
      <c r="H61" s="6"/>
      <c r="I61" s="6"/>
      <c r="J61" s="6"/>
      <c r="K61" s="6"/>
      <c r="L61" s="6"/>
      <c r="M61" s="6"/>
      <c r="N61" s="6"/>
    </row>
    <row r="63" spans="1:14" x14ac:dyDescent="0.2">
      <c r="B63" s="2" t="s">
        <v>0</v>
      </c>
      <c r="C63" s="2">
        <v>2024</v>
      </c>
      <c r="D63" s="2">
        <f>C63+1</f>
        <v>2025</v>
      </c>
      <c r="E63" s="2">
        <f t="shared" ref="E63:N63" si="4">D63+1</f>
        <v>2026</v>
      </c>
      <c r="F63" s="2">
        <f t="shared" si="4"/>
        <v>2027</v>
      </c>
      <c r="G63" s="2">
        <f t="shared" si="4"/>
        <v>2028</v>
      </c>
      <c r="H63" s="2">
        <f t="shared" si="4"/>
        <v>2029</v>
      </c>
      <c r="I63" s="2">
        <f t="shared" si="4"/>
        <v>2030</v>
      </c>
      <c r="J63" s="2">
        <f t="shared" si="4"/>
        <v>2031</v>
      </c>
      <c r="K63" s="2">
        <f t="shared" si="4"/>
        <v>2032</v>
      </c>
      <c r="L63" s="2">
        <f t="shared" si="4"/>
        <v>2033</v>
      </c>
      <c r="M63" s="2">
        <f t="shared" si="4"/>
        <v>2034</v>
      </c>
      <c r="N63" s="2">
        <f t="shared" si="4"/>
        <v>2035</v>
      </c>
    </row>
    <row r="64" spans="1:14" x14ac:dyDescent="0.2">
      <c r="B64" s="1" t="s">
        <v>997</v>
      </c>
      <c r="C64" s="547">
        <f>Model!I624</f>
        <v>893.08764940239041</v>
      </c>
      <c r="D64" s="547">
        <f>Model!J624</f>
        <v>916.42855065346339</v>
      </c>
      <c r="E64" s="547">
        <f>Model!K624</f>
        <v>952.88601036132206</v>
      </c>
      <c r="F64" s="547">
        <f>Model!L624</f>
        <v>999.88707579763411</v>
      </c>
      <c r="G64" s="547">
        <f>Model!M624</f>
        <v>1044.2156132668035</v>
      </c>
      <c r="H64" s="547">
        <f>Model!N624</f>
        <v>1074.644902104945</v>
      </c>
      <c r="I64" s="547">
        <f>Model!O624</f>
        <v>1113.3866532745405</v>
      </c>
      <c r="J64" s="547">
        <f>Model!P624</f>
        <v>1156.9941686709167</v>
      </c>
      <c r="K64" s="547">
        <f>Model!Q624</f>
        <v>1205.1654511171964</v>
      </c>
      <c r="L64" s="547">
        <f>Model!R624</f>
        <v>1255.1370143789102</v>
      </c>
      <c r="M64" s="547">
        <f>Model!S624</f>
        <v>1306.8904510081438</v>
      </c>
      <c r="N64" s="547">
        <f>Model!T624</f>
        <v>1361.1247876667258</v>
      </c>
    </row>
    <row r="65" spans="2:17" x14ac:dyDescent="0.2">
      <c r="B65" s="1" t="s">
        <v>998</v>
      </c>
      <c r="C65" s="547">
        <f>Model!I623</f>
        <v>21.912350597609564</v>
      </c>
      <c r="D65" s="547">
        <f>Model!J623</f>
        <v>112.26176838019997</v>
      </c>
      <c r="E65" s="547">
        <f>Model!K623</f>
        <v>165.16257088226038</v>
      </c>
      <c r="F65" s="547">
        <f>Model!L623</f>
        <v>205.01834164814557</v>
      </c>
      <c r="G65" s="547">
        <f>Model!M623</f>
        <v>243.20188660936589</v>
      </c>
      <c r="H65" s="547">
        <f>Model!N623</f>
        <v>277.50195839915222</v>
      </c>
      <c r="I65" s="547">
        <f>Model!O623</f>
        <v>306.48330601484474</v>
      </c>
      <c r="J65" s="547">
        <f>Model!P623</f>
        <v>333.71178659116242</v>
      </c>
      <c r="K65" s="547">
        <f>Model!Q623</f>
        <v>359.61308127923144</v>
      </c>
      <c r="L65" s="547">
        <f>Model!R623</f>
        <v>386.37541031274208</v>
      </c>
      <c r="M65" s="547">
        <f>Model!S623</f>
        <v>414.07212756503702</v>
      </c>
      <c r="N65" s="547">
        <f>Model!T623</f>
        <v>442.8018523198437</v>
      </c>
    </row>
    <row r="66" spans="2:17" x14ac:dyDescent="0.2">
      <c r="B66" s="2" t="s">
        <v>28</v>
      </c>
      <c r="C66" s="542">
        <f>SUM(C64:C65)</f>
        <v>915</v>
      </c>
      <c r="D66" s="542">
        <f>SUM(D64:D65)</f>
        <v>1028.6903190336634</v>
      </c>
      <c r="E66" s="542">
        <f t="shared" ref="E66:N66" si="5">SUM(E64:E65)</f>
        <v>1118.0485812435825</v>
      </c>
      <c r="F66" s="542">
        <f t="shared" si="5"/>
        <v>1204.9054174457797</v>
      </c>
      <c r="G66" s="542">
        <f t="shared" si="5"/>
        <v>1287.4174998761694</v>
      </c>
      <c r="H66" s="542">
        <f t="shared" si="5"/>
        <v>1352.1468605040973</v>
      </c>
      <c r="I66" s="542">
        <f t="shared" si="5"/>
        <v>1419.8699592893854</v>
      </c>
      <c r="J66" s="542">
        <f t="shared" si="5"/>
        <v>1490.705955262079</v>
      </c>
      <c r="K66" s="542">
        <f t="shared" si="5"/>
        <v>1564.7785323964279</v>
      </c>
      <c r="L66" s="542">
        <f t="shared" si="5"/>
        <v>1641.5124246916523</v>
      </c>
      <c r="M66" s="542">
        <f t="shared" si="5"/>
        <v>1720.962578573181</v>
      </c>
      <c r="N66" s="542">
        <f t="shared" si="5"/>
        <v>1803.9266399865694</v>
      </c>
    </row>
    <row r="68" spans="2:17" x14ac:dyDescent="0.2">
      <c r="B68" s="2" t="s">
        <v>1076</v>
      </c>
    </row>
    <row r="69" spans="2:17" x14ac:dyDescent="0.2">
      <c r="B69" s="1" t="s">
        <v>997</v>
      </c>
      <c r="C69" s="52">
        <f>C64/C$66</f>
        <v>0.97605207584960696</v>
      </c>
      <c r="D69" s="52">
        <f t="shared" ref="D69:N69" si="6">D64/D$66</f>
        <v>0.89086922827692494</v>
      </c>
      <c r="E69" s="52">
        <f t="shared" si="6"/>
        <v>0.8522760337493086</v>
      </c>
      <c r="F69" s="52">
        <f t="shared" si="6"/>
        <v>0.82984694177676288</v>
      </c>
      <c r="G69" s="52">
        <f t="shared" si="6"/>
        <v>0.81109322606477052</v>
      </c>
      <c r="H69" s="52">
        <f t="shared" si="6"/>
        <v>0.79476936529239428</v>
      </c>
      <c r="I69" s="52">
        <f t="shared" si="6"/>
        <v>0.78414691851905005</v>
      </c>
      <c r="J69" s="52">
        <f t="shared" si="6"/>
        <v>0.77613842259555954</v>
      </c>
      <c r="K69" s="52">
        <f t="shared" si="6"/>
        <v>0.77018276143622</v>
      </c>
      <c r="L69" s="52">
        <f t="shared" si="6"/>
        <v>0.76462230531985143</v>
      </c>
      <c r="M69" s="52">
        <f t="shared" si="6"/>
        <v>0.75939504279730652</v>
      </c>
      <c r="N69" s="52">
        <f t="shared" si="6"/>
        <v>0.75453444585576912</v>
      </c>
    </row>
    <row r="70" spans="2:17" x14ac:dyDescent="0.2">
      <c r="B70" s="1" t="s">
        <v>998</v>
      </c>
      <c r="C70" s="52">
        <f>C65/C$66</f>
        <v>2.3947924150392964E-2</v>
      </c>
      <c r="D70" s="52">
        <f t="shared" ref="D70:N70" si="7">D65/D$66</f>
        <v>0.10913077172307505</v>
      </c>
      <c r="E70" s="52">
        <f t="shared" si="7"/>
        <v>0.1477239662506914</v>
      </c>
      <c r="F70" s="52">
        <f t="shared" si="7"/>
        <v>0.17015305822323712</v>
      </c>
      <c r="G70" s="52">
        <f t="shared" si="7"/>
        <v>0.18890677393522951</v>
      </c>
      <c r="H70" s="52">
        <f t="shared" si="7"/>
        <v>0.20523063470760566</v>
      </c>
      <c r="I70" s="52">
        <f t="shared" si="7"/>
        <v>0.21585308148094992</v>
      </c>
      <c r="J70" s="52">
        <f t="shared" si="7"/>
        <v>0.22386157740444057</v>
      </c>
      <c r="K70" s="52">
        <f t="shared" si="7"/>
        <v>0.22981723856378</v>
      </c>
      <c r="L70" s="52">
        <f t="shared" si="7"/>
        <v>0.23537769468014855</v>
      </c>
      <c r="M70" s="52">
        <f t="shared" si="7"/>
        <v>0.24060495720269337</v>
      </c>
      <c r="N70" s="52">
        <f t="shared" si="7"/>
        <v>0.24546555414423085</v>
      </c>
    </row>
    <row r="72" spans="2:17" x14ac:dyDescent="0.2">
      <c r="B72" s="2" t="s">
        <v>154</v>
      </c>
    </row>
    <row r="73" spans="2:17" x14ac:dyDescent="0.2">
      <c r="B73" s="1" t="s">
        <v>997</v>
      </c>
      <c r="C73" s="543">
        <v>0.55000000000000004</v>
      </c>
      <c r="D73" s="543">
        <v>0.55000000000000004</v>
      </c>
      <c r="E73" s="543">
        <v>0.55000000000000004</v>
      </c>
      <c r="F73" s="543">
        <v>0.55000000000000004</v>
      </c>
      <c r="G73" s="543">
        <v>0.55000000000000004</v>
      </c>
      <c r="H73" s="543">
        <v>0.55000000000000004</v>
      </c>
      <c r="I73" s="543">
        <v>0.55000000000000004</v>
      </c>
      <c r="J73" s="543">
        <v>0.55000000000000004</v>
      </c>
      <c r="K73" s="543">
        <v>0.55000000000000004</v>
      </c>
      <c r="L73" s="543">
        <v>0.55000000000000004</v>
      </c>
      <c r="M73" s="543">
        <v>0.55000000000000004</v>
      </c>
      <c r="N73" s="543">
        <v>0.55000000000000004</v>
      </c>
    </row>
    <row r="74" spans="2:17" x14ac:dyDescent="0.2">
      <c r="B74" s="1" t="s">
        <v>998</v>
      </c>
      <c r="C74" s="543">
        <v>0.25</v>
      </c>
      <c r="D74" s="543">
        <v>0.25</v>
      </c>
      <c r="E74" s="543">
        <v>0.25</v>
      </c>
      <c r="F74" s="543">
        <v>0.25</v>
      </c>
      <c r="G74" s="543">
        <v>0.25</v>
      </c>
      <c r="H74" s="543">
        <v>0.25</v>
      </c>
      <c r="I74" s="543">
        <v>0.25</v>
      </c>
      <c r="J74" s="543">
        <v>0.25</v>
      </c>
      <c r="K74" s="543">
        <v>0.25</v>
      </c>
      <c r="L74" s="543">
        <v>0.25</v>
      </c>
      <c r="M74" s="543">
        <v>0.25</v>
      </c>
      <c r="N74" s="543">
        <v>0.25</v>
      </c>
    </row>
    <row r="75" spans="2:17" s="2" customFormat="1" x14ac:dyDescent="0.2">
      <c r="B75" s="2" t="s">
        <v>28</v>
      </c>
      <c r="C75" s="326">
        <f>C80/C66</f>
        <v>0.54281562275488215</v>
      </c>
      <c r="D75" s="326">
        <f t="shared" ref="D75:N75" si="8">D80/D66</f>
        <v>0.51726076848307745</v>
      </c>
      <c r="E75" s="326">
        <f t="shared" si="8"/>
        <v>0.50568281012479255</v>
      </c>
      <c r="F75" s="326">
        <f t="shared" si="8"/>
        <v>0.49895408253302886</v>
      </c>
      <c r="G75" s="326">
        <f t="shared" si="8"/>
        <v>0.49332796781943117</v>
      </c>
      <c r="H75" s="326">
        <f t="shared" si="8"/>
        <v>0.48843080958771828</v>
      </c>
      <c r="I75" s="326">
        <f t="shared" si="8"/>
        <v>0.48524407555571508</v>
      </c>
      <c r="J75" s="326">
        <f t="shared" si="8"/>
        <v>0.48284152677866787</v>
      </c>
      <c r="K75" s="326">
        <f t="shared" si="8"/>
        <v>0.481054828430866</v>
      </c>
      <c r="L75" s="326">
        <f t="shared" si="8"/>
        <v>0.47938669159595543</v>
      </c>
      <c r="M75" s="326">
        <f t="shared" si="8"/>
        <v>0.47781851283919202</v>
      </c>
      <c r="N75" s="326">
        <f t="shared" si="8"/>
        <v>0.47636033375673081</v>
      </c>
      <c r="P75" s="40">
        <f>C75-N75</f>
        <v>6.6455288998151341E-2</v>
      </c>
      <c r="Q75" s="326">
        <f>P75/11</f>
        <v>6.0413899089228488E-3</v>
      </c>
    </row>
    <row r="76" spans="2:17" x14ac:dyDescent="0.2">
      <c r="D76" s="40">
        <f>D75-C75</f>
        <v>-2.5554854271804706E-2</v>
      </c>
      <c r="E76" s="40">
        <f t="shared" ref="E76:N76" si="9">E75-D75</f>
        <v>-1.1577958358284901E-2</v>
      </c>
      <c r="F76" s="40">
        <f t="shared" si="9"/>
        <v>-6.7287275917636835E-3</v>
      </c>
      <c r="G76" s="40">
        <f t="shared" si="9"/>
        <v>-5.6261147135976963E-3</v>
      </c>
      <c r="H76" s="40">
        <f t="shared" si="9"/>
        <v>-4.8971582317128837E-3</v>
      </c>
      <c r="I76" s="40">
        <f t="shared" si="9"/>
        <v>-3.1867340320032023E-3</v>
      </c>
      <c r="J76" s="40">
        <f t="shared" si="9"/>
        <v>-2.4025487770472087E-3</v>
      </c>
      <c r="K76" s="40">
        <f t="shared" si="9"/>
        <v>-1.7866983478018739E-3</v>
      </c>
      <c r="L76" s="40">
        <f t="shared" si="9"/>
        <v>-1.6681368349105719E-3</v>
      </c>
      <c r="M76" s="40">
        <f t="shared" si="9"/>
        <v>-1.5681787567634053E-3</v>
      </c>
      <c r="N76" s="40">
        <f t="shared" si="9"/>
        <v>-1.4581790824612084E-3</v>
      </c>
    </row>
    <row r="77" spans="2:17" x14ac:dyDescent="0.2">
      <c r="B77" s="2" t="s">
        <v>124</v>
      </c>
    </row>
    <row r="78" spans="2:17" x14ac:dyDescent="0.2">
      <c r="B78" s="1" t="s">
        <v>997</v>
      </c>
      <c r="C78" s="541">
        <f>C64*C73</f>
        <v>491.19820717131478</v>
      </c>
      <c r="D78" s="541">
        <f t="shared" ref="D78:N78" si="10">D64*D73</f>
        <v>504.03570285940492</v>
      </c>
      <c r="E78" s="541">
        <f t="shared" si="10"/>
        <v>524.08730569872716</v>
      </c>
      <c r="F78" s="541">
        <f t="shared" si="10"/>
        <v>549.93789168869876</v>
      </c>
      <c r="G78" s="541">
        <f t="shared" si="10"/>
        <v>574.31858729674195</v>
      </c>
      <c r="H78" s="541">
        <f t="shared" si="10"/>
        <v>591.05469615771983</v>
      </c>
      <c r="I78" s="541">
        <f t="shared" si="10"/>
        <v>612.36265930099739</v>
      </c>
      <c r="J78" s="541">
        <f t="shared" si="10"/>
        <v>636.3467927690042</v>
      </c>
      <c r="K78" s="541">
        <f t="shared" si="10"/>
        <v>662.8409981144581</v>
      </c>
      <c r="L78" s="541">
        <f t="shared" si="10"/>
        <v>690.32535790840063</v>
      </c>
      <c r="M78" s="541">
        <f t="shared" si="10"/>
        <v>718.78974805447922</v>
      </c>
      <c r="N78" s="541">
        <f t="shared" si="10"/>
        <v>748.61863321669921</v>
      </c>
    </row>
    <row r="79" spans="2:17" x14ac:dyDescent="0.2">
      <c r="B79" s="1" t="s">
        <v>998</v>
      </c>
      <c r="C79" s="541">
        <f>C65*C74</f>
        <v>5.4780876494023909</v>
      </c>
      <c r="D79" s="541">
        <f t="shared" ref="D79:N79" si="11">D65*D74</f>
        <v>28.065442095049992</v>
      </c>
      <c r="E79" s="541">
        <f t="shared" si="11"/>
        <v>41.290642720565096</v>
      </c>
      <c r="F79" s="541">
        <f t="shared" si="11"/>
        <v>51.254585412036391</v>
      </c>
      <c r="G79" s="541">
        <f t="shared" si="11"/>
        <v>60.800471652341471</v>
      </c>
      <c r="H79" s="541">
        <f t="shared" si="11"/>
        <v>69.375489599788054</v>
      </c>
      <c r="I79" s="541">
        <f t="shared" si="11"/>
        <v>76.620826503711186</v>
      </c>
      <c r="J79" s="541">
        <f t="shared" si="11"/>
        <v>83.427946647790606</v>
      </c>
      <c r="K79" s="541">
        <f t="shared" si="11"/>
        <v>89.903270319807859</v>
      </c>
      <c r="L79" s="541">
        <f t="shared" si="11"/>
        <v>96.593852578185519</v>
      </c>
      <c r="M79" s="541">
        <f t="shared" si="11"/>
        <v>103.51803189125926</v>
      </c>
      <c r="N79" s="541">
        <f t="shared" si="11"/>
        <v>110.70046307996093</v>
      </c>
    </row>
    <row r="80" spans="2:17" x14ac:dyDescent="0.2">
      <c r="B80" s="2" t="s">
        <v>28</v>
      </c>
      <c r="C80" s="17">
        <f>SUM(C78:C79)</f>
        <v>496.67629482071715</v>
      </c>
      <c r="D80" s="17">
        <f t="shared" ref="D80:N80" si="12">SUM(D78:D79)</f>
        <v>532.10114495445487</v>
      </c>
      <c r="E80" s="17">
        <f t="shared" si="12"/>
        <v>565.37794841929224</v>
      </c>
      <c r="F80" s="17">
        <f t="shared" si="12"/>
        <v>601.19247710073512</v>
      </c>
      <c r="G80" s="17">
        <f t="shared" si="12"/>
        <v>635.11905894908341</v>
      </c>
      <c r="H80" s="17">
        <f t="shared" si="12"/>
        <v>660.43018575750784</v>
      </c>
      <c r="I80" s="17">
        <f t="shared" si="12"/>
        <v>688.98348580470861</v>
      </c>
      <c r="J80" s="17">
        <f t="shared" si="12"/>
        <v>719.77473941679477</v>
      </c>
      <c r="K80" s="17">
        <f t="shared" si="12"/>
        <v>752.7442684342659</v>
      </c>
      <c r="L80" s="17">
        <f t="shared" si="12"/>
        <v>786.91921048658617</v>
      </c>
      <c r="M80" s="17">
        <f t="shared" si="12"/>
        <v>822.3077799457385</v>
      </c>
      <c r="N80" s="17">
        <f t="shared" si="12"/>
        <v>859.31909629666018</v>
      </c>
    </row>
    <row r="81" spans="2:16" x14ac:dyDescent="0.2">
      <c r="B81" s="2"/>
    </row>
    <row r="82" spans="2:16" x14ac:dyDescent="0.2">
      <c r="B82" s="2" t="s">
        <v>999</v>
      </c>
    </row>
    <row r="83" spans="2:16" x14ac:dyDescent="0.2">
      <c r="B83" s="1" t="s">
        <v>997</v>
      </c>
      <c r="C83" s="543">
        <v>0.2</v>
      </c>
      <c r="D83" s="543">
        <v>0.2</v>
      </c>
      <c r="E83" s="543">
        <v>0.2</v>
      </c>
      <c r="F83" s="543">
        <v>0.2</v>
      </c>
      <c r="G83" s="543">
        <v>0.2</v>
      </c>
      <c r="H83" s="543">
        <v>0.2</v>
      </c>
      <c r="I83" s="543">
        <v>0.2</v>
      </c>
      <c r="J83" s="543">
        <v>0.2</v>
      </c>
      <c r="K83" s="543">
        <v>0.2</v>
      </c>
      <c r="L83" s="543">
        <v>0.2</v>
      </c>
      <c r="M83" s="543">
        <v>0.2</v>
      </c>
      <c r="N83" s="543">
        <v>0.2</v>
      </c>
    </row>
    <row r="84" spans="2:16" x14ac:dyDescent="0.2">
      <c r="B84" s="1" t="s">
        <v>998</v>
      </c>
      <c r="C84" s="543">
        <v>0.03</v>
      </c>
      <c r="D84" s="543">
        <v>0.03</v>
      </c>
      <c r="E84" s="543">
        <v>0.03</v>
      </c>
      <c r="F84" s="543">
        <v>0.03</v>
      </c>
      <c r="G84" s="543">
        <v>0.03</v>
      </c>
      <c r="H84" s="543">
        <v>0.03</v>
      </c>
      <c r="I84" s="543">
        <v>0.03</v>
      </c>
      <c r="J84" s="543">
        <v>0.03</v>
      </c>
      <c r="K84" s="543">
        <v>0.03</v>
      </c>
      <c r="L84" s="543">
        <v>0.03</v>
      </c>
      <c r="M84" s="543">
        <v>0.03</v>
      </c>
      <c r="N84" s="543">
        <v>0.03</v>
      </c>
    </row>
    <row r="85" spans="2:16" x14ac:dyDescent="0.2">
      <c r="B85" s="2" t="s">
        <v>28</v>
      </c>
      <c r="C85" s="52">
        <f>C90/C66</f>
        <v>0.19592885289443321</v>
      </c>
      <c r="D85" s="52">
        <f t="shared" ref="D85:N85" si="13">D90/D66</f>
        <v>0.18144776880707725</v>
      </c>
      <c r="E85" s="52">
        <f t="shared" si="13"/>
        <v>0.17488692573738246</v>
      </c>
      <c r="F85" s="52">
        <f t="shared" si="13"/>
        <v>0.17107398010204969</v>
      </c>
      <c r="G85" s="52">
        <f t="shared" si="13"/>
        <v>0.16788584843101101</v>
      </c>
      <c r="H85" s="52">
        <f t="shared" si="13"/>
        <v>0.16511079209970705</v>
      </c>
      <c r="I85" s="52">
        <f t="shared" si="13"/>
        <v>0.16330497614823852</v>
      </c>
      <c r="J85" s="52">
        <f t="shared" si="13"/>
        <v>0.16194353184124513</v>
      </c>
      <c r="K85" s="52">
        <f t="shared" si="13"/>
        <v>0.16093106944415742</v>
      </c>
      <c r="L85" s="52">
        <f t="shared" si="13"/>
        <v>0.15998579190437476</v>
      </c>
      <c r="M85" s="52">
        <f t="shared" si="13"/>
        <v>0.15909715727554213</v>
      </c>
      <c r="N85" s="52">
        <f t="shared" si="13"/>
        <v>0.15827085579548075</v>
      </c>
      <c r="P85" s="40">
        <f>C85-N85</f>
        <v>3.7657997098952456E-2</v>
      </c>
    </row>
    <row r="86" spans="2:16" x14ac:dyDescent="0.2">
      <c r="B86" s="2"/>
    </row>
    <row r="87" spans="2:16" x14ac:dyDescent="0.2">
      <c r="B87" s="2" t="s">
        <v>35</v>
      </c>
    </row>
    <row r="88" spans="2:16" x14ac:dyDescent="0.2">
      <c r="B88" s="1" t="s">
        <v>997</v>
      </c>
      <c r="C88" s="541">
        <f>C64*C83</f>
        <v>178.61752988047809</v>
      </c>
      <c r="D88" s="541">
        <f t="shared" ref="D88:N88" si="14">D64*D83</f>
        <v>183.28571013069268</v>
      </c>
      <c r="E88" s="541">
        <f t="shared" si="14"/>
        <v>190.57720207226441</v>
      </c>
      <c r="F88" s="541">
        <f t="shared" si="14"/>
        <v>199.97741515952683</v>
      </c>
      <c r="G88" s="541">
        <f t="shared" si="14"/>
        <v>208.84312265336072</v>
      </c>
      <c r="H88" s="541">
        <f t="shared" si="14"/>
        <v>214.92898042098901</v>
      </c>
      <c r="I88" s="541">
        <f t="shared" si="14"/>
        <v>222.67733065490813</v>
      </c>
      <c r="J88" s="541">
        <f t="shared" si="14"/>
        <v>231.39883373418334</v>
      </c>
      <c r="K88" s="541">
        <f t="shared" si="14"/>
        <v>241.0330902234393</v>
      </c>
      <c r="L88" s="541">
        <f t="shared" si="14"/>
        <v>251.02740287578206</v>
      </c>
      <c r="M88" s="541">
        <f t="shared" si="14"/>
        <v>261.37809020162877</v>
      </c>
      <c r="N88" s="541">
        <f t="shared" si="14"/>
        <v>272.22495753334516</v>
      </c>
    </row>
    <row r="89" spans="2:16" x14ac:dyDescent="0.2">
      <c r="B89" s="1" t="s">
        <v>998</v>
      </c>
      <c r="C89" s="541">
        <f>C65*C84</f>
        <v>0.65737051792828693</v>
      </c>
      <c r="D89" s="541">
        <f t="shared" ref="D89:N89" si="15">D65*D84</f>
        <v>3.3678530514059988</v>
      </c>
      <c r="E89" s="541">
        <f t="shared" si="15"/>
        <v>4.9548771264678111</v>
      </c>
      <c r="F89" s="541">
        <f t="shared" si="15"/>
        <v>6.1505502494443665</v>
      </c>
      <c r="G89" s="541">
        <f t="shared" si="15"/>
        <v>7.296056598280976</v>
      </c>
      <c r="H89" s="541">
        <f t="shared" si="15"/>
        <v>8.3250587519745665</v>
      </c>
      <c r="I89" s="541">
        <f t="shared" si="15"/>
        <v>9.1944991804453426</v>
      </c>
      <c r="J89" s="541">
        <f t="shared" si="15"/>
        <v>10.011353597734873</v>
      </c>
      <c r="K89" s="541">
        <f t="shared" si="15"/>
        <v>10.788392438376942</v>
      </c>
      <c r="L89" s="541">
        <f t="shared" si="15"/>
        <v>11.591262309382262</v>
      </c>
      <c r="M89" s="541">
        <f t="shared" si="15"/>
        <v>12.42216382695111</v>
      </c>
      <c r="N89" s="541">
        <f t="shared" si="15"/>
        <v>13.28405556959531</v>
      </c>
    </row>
    <row r="90" spans="2:16" x14ac:dyDescent="0.2">
      <c r="B90" s="2" t="s">
        <v>28</v>
      </c>
      <c r="C90" s="17">
        <f>SUM(C88:C89)</f>
        <v>179.27490039840637</v>
      </c>
      <c r="D90" s="17">
        <f t="shared" ref="D90:N90" si="16">SUM(D88:D89)</f>
        <v>186.65356318209868</v>
      </c>
      <c r="E90" s="17">
        <f t="shared" si="16"/>
        <v>195.53207919873222</v>
      </c>
      <c r="F90" s="17">
        <f t="shared" si="16"/>
        <v>206.12796540897119</v>
      </c>
      <c r="G90" s="17">
        <f t="shared" si="16"/>
        <v>216.13917925164171</v>
      </c>
      <c r="H90" s="17">
        <f t="shared" si="16"/>
        <v>223.25403917296359</v>
      </c>
      <c r="I90" s="17">
        <f t="shared" si="16"/>
        <v>231.87182983535348</v>
      </c>
      <c r="J90" s="17">
        <f t="shared" si="16"/>
        <v>241.41018733191822</v>
      </c>
      <c r="K90" s="17">
        <f t="shared" si="16"/>
        <v>251.82148266181625</v>
      </c>
      <c r="L90" s="17">
        <f t="shared" si="16"/>
        <v>262.61866518516433</v>
      </c>
      <c r="M90" s="17">
        <f t="shared" si="16"/>
        <v>273.8002540285799</v>
      </c>
      <c r="N90" s="17">
        <f t="shared" si="16"/>
        <v>285.50901310294046</v>
      </c>
    </row>
    <row r="91" spans="2:16" x14ac:dyDescent="0.2">
      <c r="B91" s="2"/>
    </row>
    <row r="92" spans="2:16" x14ac:dyDescent="0.2">
      <c r="B92" s="2" t="s">
        <v>1000</v>
      </c>
    </row>
    <row r="93" spans="2:16" x14ac:dyDescent="0.2">
      <c r="B93" s="1" t="s">
        <v>997</v>
      </c>
      <c r="C93" s="13">
        <f>C78-C88</f>
        <v>312.58067729083666</v>
      </c>
      <c r="D93" s="13">
        <f t="shared" ref="D93:N93" si="17">D78-D88</f>
        <v>320.74999272871224</v>
      </c>
      <c r="E93" s="13">
        <f t="shared" si="17"/>
        <v>333.51010362646275</v>
      </c>
      <c r="F93" s="13">
        <f t="shared" si="17"/>
        <v>349.96047652917196</v>
      </c>
      <c r="G93" s="13">
        <f t="shared" si="17"/>
        <v>365.4754646433812</v>
      </c>
      <c r="H93" s="13">
        <f t="shared" si="17"/>
        <v>376.12571573673085</v>
      </c>
      <c r="I93" s="13">
        <f t="shared" si="17"/>
        <v>389.68532864608926</v>
      </c>
      <c r="J93" s="13">
        <f t="shared" si="17"/>
        <v>404.94795903482088</v>
      </c>
      <c r="K93" s="13">
        <f t="shared" si="17"/>
        <v>421.80790789101877</v>
      </c>
      <c r="L93" s="13">
        <f t="shared" si="17"/>
        <v>439.29795503261857</v>
      </c>
      <c r="M93" s="13">
        <f t="shared" si="17"/>
        <v>457.41165785285045</v>
      </c>
      <c r="N93" s="13">
        <f t="shared" si="17"/>
        <v>476.39367568335405</v>
      </c>
    </row>
    <row r="94" spans="2:16" x14ac:dyDescent="0.2">
      <c r="B94" s="1" t="s">
        <v>998</v>
      </c>
      <c r="C94" s="13">
        <f>C79-C89</f>
        <v>4.8207171314741037</v>
      </c>
      <c r="D94" s="13">
        <f t="shared" ref="D94:N94" si="18">D79-D89</f>
        <v>24.697589043643994</v>
      </c>
      <c r="E94" s="13">
        <f t="shared" si="18"/>
        <v>36.335765594097282</v>
      </c>
      <c r="F94" s="13">
        <f t="shared" si="18"/>
        <v>45.104035162592027</v>
      </c>
      <c r="G94" s="13">
        <f t="shared" si="18"/>
        <v>53.504415054060495</v>
      </c>
      <c r="H94" s="13">
        <f t="shared" si="18"/>
        <v>61.050430847813487</v>
      </c>
      <c r="I94" s="13">
        <f t="shared" si="18"/>
        <v>67.426327323265838</v>
      </c>
      <c r="J94" s="13">
        <f t="shared" si="18"/>
        <v>73.416593050055738</v>
      </c>
      <c r="K94" s="13">
        <f t="shared" si="18"/>
        <v>79.114877881430914</v>
      </c>
      <c r="L94" s="13">
        <f t="shared" si="18"/>
        <v>85.00259026880326</v>
      </c>
      <c r="M94" s="13">
        <f t="shared" si="18"/>
        <v>91.095868064308149</v>
      </c>
      <c r="N94" s="13">
        <f t="shared" si="18"/>
        <v>97.416407510365616</v>
      </c>
    </row>
    <row r="95" spans="2:16" x14ac:dyDescent="0.2">
      <c r="B95" s="2" t="s">
        <v>28</v>
      </c>
      <c r="C95" s="17">
        <f>C80-C90</f>
        <v>317.40139442231077</v>
      </c>
      <c r="D95" s="17">
        <f t="shared" ref="D95:N95" si="19">D80-D90</f>
        <v>345.44758177235622</v>
      </c>
      <c r="E95" s="17">
        <f t="shared" si="19"/>
        <v>369.84586922056002</v>
      </c>
      <c r="F95" s="17">
        <f t="shared" si="19"/>
        <v>395.06451169176393</v>
      </c>
      <c r="G95" s="17">
        <f t="shared" si="19"/>
        <v>418.97987969744167</v>
      </c>
      <c r="H95" s="17">
        <f t="shared" si="19"/>
        <v>437.17614658454426</v>
      </c>
      <c r="I95" s="17">
        <f t="shared" si="19"/>
        <v>457.11165596935513</v>
      </c>
      <c r="J95" s="17">
        <f t="shared" si="19"/>
        <v>478.36455208487655</v>
      </c>
      <c r="K95" s="17">
        <f t="shared" si="19"/>
        <v>500.92278577244963</v>
      </c>
      <c r="L95" s="17">
        <f t="shared" si="19"/>
        <v>524.30054530142183</v>
      </c>
      <c r="M95" s="17">
        <f t="shared" si="19"/>
        <v>548.50752591715855</v>
      </c>
      <c r="N95" s="17">
        <f t="shared" si="19"/>
        <v>573.81008319371972</v>
      </c>
    </row>
    <row r="96" spans="2:16" x14ac:dyDescent="0.2">
      <c r="B96" s="2"/>
    </row>
    <row r="97" spans="1:14" x14ac:dyDescent="0.2">
      <c r="B97" s="2" t="s">
        <v>1001</v>
      </c>
    </row>
    <row r="98" spans="1:14" x14ac:dyDescent="0.2">
      <c r="B98" s="1" t="s">
        <v>997</v>
      </c>
      <c r="C98" s="512">
        <f>C93/C64</f>
        <v>0.35000000000000003</v>
      </c>
      <c r="D98" s="512">
        <f t="shared" ref="D98:N98" si="20">D93/D64</f>
        <v>0.35000000000000009</v>
      </c>
      <c r="E98" s="512">
        <f t="shared" si="20"/>
        <v>0.35000000000000003</v>
      </c>
      <c r="F98" s="512">
        <f t="shared" si="20"/>
        <v>0.35000000000000003</v>
      </c>
      <c r="G98" s="512">
        <f t="shared" si="20"/>
        <v>0.35</v>
      </c>
      <c r="H98" s="512">
        <f t="shared" si="20"/>
        <v>0.35000000000000009</v>
      </c>
      <c r="I98" s="512">
        <f t="shared" si="20"/>
        <v>0.35000000000000009</v>
      </c>
      <c r="J98" s="512">
        <f t="shared" si="20"/>
        <v>0.35000000000000003</v>
      </c>
      <c r="K98" s="512">
        <f t="shared" si="20"/>
        <v>0.35000000000000003</v>
      </c>
      <c r="L98" s="512">
        <f t="shared" si="20"/>
        <v>0.35000000000000003</v>
      </c>
      <c r="M98" s="512">
        <f t="shared" si="20"/>
        <v>0.35000000000000009</v>
      </c>
      <c r="N98" s="512">
        <f t="shared" si="20"/>
        <v>0.35000000000000003</v>
      </c>
    </row>
    <row r="99" spans="1:14" x14ac:dyDescent="0.2">
      <c r="B99" s="1" t="s">
        <v>998</v>
      </c>
      <c r="C99" s="512">
        <f>C94/C65</f>
        <v>0.22</v>
      </c>
      <c r="D99" s="512">
        <f t="shared" ref="D99:N99" si="21">D94/D65</f>
        <v>0.22</v>
      </c>
      <c r="E99" s="512">
        <f t="shared" si="21"/>
        <v>0.21999999999999997</v>
      </c>
      <c r="F99" s="512">
        <f t="shared" si="21"/>
        <v>0.22</v>
      </c>
      <c r="G99" s="512">
        <f t="shared" si="21"/>
        <v>0.22</v>
      </c>
      <c r="H99" s="512">
        <f t="shared" si="21"/>
        <v>0.22</v>
      </c>
      <c r="I99" s="512">
        <f t="shared" si="21"/>
        <v>0.21999999999999997</v>
      </c>
      <c r="J99" s="512">
        <f t="shared" si="21"/>
        <v>0.22000000000000003</v>
      </c>
      <c r="K99" s="512">
        <f t="shared" si="21"/>
        <v>0.22</v>
      </c>
      <c r="L99" s="512">
        <f t="shared" si="21"/>
        <v>0.22</v>
      </c>
      <c r="M99" s="512">
        <f t="shared" si="21"/>
        <v>0.22</v>
      </c>
      <c r="N99" s="512">
        <f t="shared" si="21"/>
        <v>0.22</v>
      </c>
    </row>
    <row r="100" spans="1:14" s="2" customFormat="1" x14ac:dyDescent="0.2">
      <c r="B100" s="2" t="s">
        <v>28</v>
      </c>
      <c r="C100" s="508">
        <f>C95/C66</f>
        <v>0.34688676986044892</v>
      </c>
      <c r="D100" s="508">
        <f t="shared" ref="D100:N100" si="22">D95/D66</f>
        <v>0.33581299967600026</v>
      </c>
      <c r="E100" s="508">
        <f t="shared" si="22"/>
        <v>0.33079588438741014</v>
      </c>
      <c r="F100" s="508">
        <f t="shared" si="22"/>
        <v>0.32788010243097915</v>
      </c>
      <c r="G100" s="508">
        <f t="shared" si="22"/>
        <v>0.32544211938842016</v>
      </c>
      <c r="H100" s="508">
        <f t="shared" si="22"/>
        <v>0.32332001748801126</v>
      </c>
      <c r="I100" s="508">
        <f t="shared" si="22"/>
        <v>0.32193909940747656</v>
      </c>
      <c r="J100" s="508">
        <f t="shared" si="22"/>
        <v>0.32089799493742271</v>
      </c>
      <c r="K100" s="508">
        <f t="shared" si="22"/>
        <v>0.32012375898670858</v>
      </c>
      <c r="L100" s="508">
        <f t="shared" si="22"/>
        <v>0.3194008996915807</v>
      </c>
      <c r="M100" s="508">
        <f t="shared" si="22"/>
        <v>0.31872135556364989</v>
      </c>
      <c r="N100" s="508">
        <f t="shared" si="22"/>
        <v>0.31808947796125003</v>
      </c>
    </row>
    <row r="102" spans="1:14" x14ac:dyDescent="0.2">
      <c r="A102" s="1" t="s">
        <v>22</v>
      </c>
      <c r="B102" s="37" t="s">
        <v>272</v>
      </c>
    </row>
    <row r="103" spans="1:14" x14ac:dyDescent="0.2">
      <c r="B103" s="143"/>
      <c r="C103" s="333" t="s">
        <v>331</v>
      </c>
    </row>
    <row r="104" spans="1:14" x14ac:dyDescent="0.2">
      <c r="B104" s="1" t="s">
        <v>273</v>
      </c>
      <c r="C104" s="331">
        <f>Inputs!S93+Inputs!S101</f>
        <v>960</v>
      </c>
      <c r="F104" s="1" t="s">
        <v>273</v>
      </c>
      <c r="G104" s="331">
        <f>C104</f>
        <v>960</v>
      </c>
    </row>
    <row r="105" spans="1:14" x14ac:dyDescent="0.2">
      <c r="B105" s="1" t="s">
        <v>595</v>
      </c>
      <c r="C105" s="331">
        <v>333</v>
      </c>
      <c r="D105" s="331"/>
      <c r="F105" s="1" t="s">
        <v>595</v>
      </c>
      <c r="G105" s="331">
        <f>-C105</f>
        <v>-333</v>
      </c>
    </row>
    <row r="106" spans="1:14" x14ac:dyDescent="0.2">
      <c r="B106" s="4" t="s">
        <v>593</v>
      </c>
      <c r="C106" s="332">
        <f>C104-C105</f>
        <v>627</v>
      </c>
      <c r="D106" s="332"/>
      <c r="F106" s="4" t="s">
        <v>593</v>
      </c>
      <c r="G106" s="332">
        <f>G104+G105</f>
        <v>627</v>
      </c>
    </row>
    <row r="107" spans="1:14" x14ac:dyDescent="0.2">
      <c r="B107" s="1" t="s">
        <v>106</v>
      </c>
      <c r="C107" s="331">
        <f>Inputs!S82</f>
        <v>712</v>
      </c>
      <c r="D107" s="331"/>
      <c r="F107" s="1" t="s">
        <v>106</v>
      </c>
      <c r="G107" s="331">
        <f>-C107</f>
        <v>-712</v>
      </c>
    </row>
    <row r="108" spans="1:14" x14ac:dyDescent="0.2">
      <c r="B108" s="4" t="s">
        <v>596</v>
      </c>
      <c r="C108" s="332">
        <f>C106-C107</f>
        <v>-85</v>
      </c>
      <c r="D108" s="332"/>
      <c r="F108" s="4" t="s">
        <v>596</v>
      </c>
      <c r="G108" s="332">
        <f>SUM(G106:G107)</f>
        <v>-85</v>
      </c>
    </row>
    <row r="109" spans="1:14" x14ac:dyDescent="0.2">
      <c r="B109" s="1" t="s">
        <v>594</v>
      </c>
      <c r="C109" s="331">
        <f>C108+C105</f>
        <v>248</v>
      </c>
      <c r="D109" s="331"/>
    </row>
    <row r="111" spans="1:14" x14ac:dyDescent="0.2">
      <c r="B111" s="143"/>
      <c r="C111" s="333">
        <v>2025</v>
      </c>
    </row>
    <row r="112" spans="1:14" x14ac:dyDescent="0.2">
      <c r="B112" s="2" t="s">
        <v>1107</v>
      </c>
      <c r="C112" s="438">
        <f>Model!J468</f>
        <v>674</v>
      </c>
    </row>
    <row r="113" spans="1:5" x14ac:dyDescent="0.2">
      <c r="B113" s="1" t="s">
        <v>1104</v>
      </c>
      <c r="C113" s="331">
        <f>Model!J768</f>
        <v>497.67643458308737</v>
      </c>
    </row>
    <row r="114" spans="1:5" x14ac:dyDescent="0.2">
      <c r="B114" s="1" t="s">
        <v>1105</v>
      </c>
      <c r="C114" s="331">
        <f>Model!J771+Model!J772</f>
        <v>-320.08706662951937</v>
      </c>
    </row>
    <row r="115" spans="1:5" x14ac:dyDescent="0.2">
      <c r="B115" s="1" t="s">
        <v>832</v>
      </c>
      <c r="C115" s="331">
        <f>Model!J773</f>
        <v>-141</v>
      </c>
    </row>
    <row r="116" spans="1:5" x14ac:dyDescent="0.2">
      <c r="B116" s="1" t="s">
        <v>1106</v>
      </c>
      <c r="C116" s="331">
        <f>Model!J494</f>
        <v>-565</v>
      </c>
    </row>
    <row r="117" spans="1:5" x14ac:dyDescent="0.2">
      <c r="B117" s="1" t="s">
        <v>1019</v>
      </c>
      <c r="C117" s="331">
        <f>-Model!J371-Model!J372</f>
        <v>362</v>
      </c>
    </row>
    <row r="118" spans="1:5" x14ac:dyDescent="0.2">
      <c r="B118" s="1" t="s">
        <v>1102</v>
      </c>
      <c r="C118" s="331">
        <f>Model!J784</f>
        <v>138.4</v>
      </c>
    </row>
    <row r="119" spans="1:5" x14ac:dyDescent="0.2">
      <c r="B119" s="2" t="s">
        <v>1108</v>
      </c>
      <c r="C119" s="438">
        <f>SUM(C112:C118)</f>
        <v>645.98936795356815</v>
      </c>
    </row>
    <row r="120" spans="1:5" x14ac:dyDescent="0.2">
      <c r="B120" s="1" t="s">
        <v>273</v>
      </c>
      <c r="C120" s="331">
        <f>Model!J794</f>
        <v>329</v>
      </c>
    </row>
    <row r="121" spans="1:5" x14ac:dyDescent="0.2">
      <c r="B121" s="2" t="s">
        <v>1103</v>
      </c>
      <c r="C121" s="438">
        <f>C120-C119</f>
        <v>-316.98936795356815</v>
      </c>
    </row>
    <row r="124" spans="1:5" x14ac:dyDescent="0.2">
      <c r="A124" s="1" t="s">
        <v>22</v>
      </c>
      <c r="B124" s="2" t="s">
        <v>608</v>
      </c>
      <c r="C124" s="1">
        <v>712</v>
      </c>
    </row>
    <row r="125" spans="1:5" x14ac:dyDescent="0.2">
      <c r="B125" s="1" t="s">
        <v>832</v>
      </c>
      <c r="C125" s="1">
        <v>-155.19999999999999</v>
      </c>
      <c r="E125" s="1" t="s">
        <v>833</v>
      </c>
    </row>
    <row r="126" spans="1:5" x14ac:dyDescent="0.2">
      <c r="B126" s="1" t="s">
        <v>95</v>
      </c>
      <c r="C126" s="1">
        <v>-561</v>
      </c>
      <c r="E126" s="1" t="s">
        <v>834</v>
      </c>
    </row>
    <row r="127" spans="1:5" x14ac:dyDescent="0.2">
      <c r="B127" s="1" t="s">
        <v>609</v>
      </c>
      <c r="C127" s="1">
        <v>306</v>
      </c>
    </row>
    <row r="128" spans="1:5" x14ac:dyDescent="0.2">
      <c r="B128" s="1" t="s">
        <v>610</v>
      </c>
      <c r="C128" s="1">
        <v>32</v>
      </c>
    </row>
    <row r="129" spans="1:6" x14ac:dyDescent="0.2">
      <c r="B129" s="4" t="s">
        <v>611</v>
      </c>
      <c r="C129" s="4">
        <f>SUM(C124:C128)</f>
        <v>333.79999999999995</v>
      </c>
    </row>
    <row r="133" spans="1:6" x14ac:dyDescent="0.2">
      <c r="B133" s="2" t="s">
        <v>445</v>
      </c>
    </row>
    <row r="134" spans="1:6" x14ac:dyDescent="0.2">
      <c r="A134" s="1" t="s">
        <v>22</v>
      </c>
      <c r="B134" s="2" t="s">
        <v>486</v>
      </c>
      <c r="C134" s="151">
        <f>155.2*2</f>
        <v>310.39999999999998</v>
      </c>
      <c r="F134" s="1" t="s">
        <v>836</v>
      </c>
    </row>
    <row r="135" spans="1:6" x14ac:dyDescent="0.2">
      <c r="B135" s="2" t="s">
        <v>830</v>
      </c>
      <c r="C135" s="323">
        <f>Model!J344*27%*2</f>
        <v>48.197535568457148</v>
      </c>
      <c r="F135" s="1" t="s">
        <v>835</v>
      </c>
    </row>
    <row r="136" spans="1:6" x14ac:dyDescent="0.2">
      <c r="B136" s="2"/>
    </row>
    <row r="137" spans="1:6" x14ac:dyDescent="0.2">
      <c r="B137" s="153">
        <v>2025</v>
      </c>
      <c r="C137" s="2" t="s">
        <v>644</v>
      </c>
      <c r="D137" s="2" t="s">
        <v>487</v>
      </c>
    </row>
    <row r="138" spans="1:6" x14ac:dyDescent="0.2">
      <c r="B138" s="1" t="s">
        <v>423</v>
      </c>
      <c r="C138" s="70">
        <f>Summary!$D$11</f>
        <v>3017.3862456100001</v>
      </c>
      <c r="D138" s="70">
        <f>Summary!$D$11</f>
        <v>3017.3862456100001</v>
      </c>
    </row>
    <row r="139" spans="1:6" x14ac:dyDescent="0.2">
      <c r="B139" s="1" t="s">
        <v>366</v>
      </c>
      <c r="C139" s="70">
        <f>Model!J495</f>
        <v>329</v>
      </c>
      <c r="D139" s="70">
        <f>C139</f>
        <v>329</v>
      </c>
    </row>
    <row r="140" spans="1:6" x14ac:dyDescent="0.2">
      <c r="B140" s="1" t="s">
        <v>106</v>
      </c>
      <c r="C140" s="70">
        <f>Model!J470</f>
        <v>654.98936795356803</v>
      </c>
      <c r="D140" s="70">
        <f>C140-C134</f>
        <v>344.58936795356806</v>
      </c>
      <c r="F140" s="1" t="s">
        <v>540</v>
      </c>
    </row>
    <row r="141" spans="1:6" x14ac:dyDescent="0.2">
      <c r="B141" s="1" t="s">
        <v>272</v>
      </c>
      <c r="C141" s="13">
        <f>C139-C140</f>
        <v>-325.98936795356803</v>
      </c>
      <c r="D141" s="13">
        <f>D139-D140</f>
        <v>-15.589367953568058</v>
      </c>
    </row>
    <row r="142" spans="1:6" ht="13.5" thickBot="1" x14ac:dyDescent="0.25">
      <c r="B142" s="5" t="s">
        <v>484</v>
      </c>
      <c r="C142" s="25">
        <f>C138+C141</f>
        <v>2691.396877656432</v>
      </c>
      <c r="D142" s="25">
        <f>D138+D141</f>
        <v>3001.7968776564321</v>
      </c>
    </row>
    <row r="143" spans="1:6" ht="13.5" thickTop="1" x14ac:dyDescent="0.2">
      <c r="C143" s="13"/>
      <c r="D143" s="13"/>
    </row>
    <row r="144" spans="1:6" x14ac:dyDescent="0.2">
      <c r="B144" s="1" t="s">
        <v>831</v>
      </c>
      <c r="C144" s="70">
        <f>Model!J639</f>
        <v>547.65010666301589</v>
      </c>
      <c r="D144" s="13">
        <f>C144+C135</f>
        <v>595.84764223147306</v>
      </c>
    </row>
    <row r="145" spans="2:8" x14ac:dyDescent="0.2">
      <c r="B145" s="1" t="s">
        <v>419</v>
      </c>
      <c r="C145" s="21">
        <f>C142/C144</f>
        <v>4.9144460028609513</v>
      </c>
      <c r="D145" s="21">
        <f>D142/D144</f>
        <v>5.0378597898190609</v>
      </c>
    </row>
    <row r="149" spans="2:8" x14ac:dyDescent="0.2">
      <c r="B149" s="2" t="s">
        <v>387</v>
      </c>
    </row>
    <row r="150" spans="2:8" x14ac:dyDescent="0.2">
      <c r="C150" s="1" t="s">
        <v>145</v>
      </c>
    </row>
    <row r="151" spans="2:8" x14ac:dyDescent="0.2">
      <c r="B151" s="15" t="s">
        <v>385</v>
      </c>
      <c r="C151" s="15">
        <v>23</v>
      </c>
    </row>
    <row r="152" spans="2:8" x14ac:dyDescent="0.2">
      <c r="B152" s="98" t="s">
        <v>386</v>
      </c>
      <c r="C152" s="98">
        <v>8.6199999999999992</v>
      </c>
    </row>
    <row r="154" spans="2:8" x14ac:dyDescent="0.2">
      <c r="C154" s="2" t="s">
        <v>1117</v>
      </c>
      <c r="D154" s="579">
        <v>0.5</v>
      </c>
      <c r="E154" s="2" t="s">
        <v>1118</v>
      </c>
      <c r="G154" s="2" t="s">
        <v>1115</v>
      </c>
    </row>
    <row r="155" spans="2:8" x14ac:dyDescent="0.2">
      <c r="G155" s="2" t="s">
        <v>1116</v>
      </c>
    </row>
    <row r="156" spans="2:8" x14ac:dyDescent="0.2">
      <c r="B156" s="1" t="s">
        <v>581</v>
      </c>
      <c r="C156" s="241">
        <v>190526570</v>
      </c>
      <c r="D156" s="241">
        <v>202026570</v>
      </c>
      <c r="E156" s="241">
        <v>208695652</v>
      </c>
      <c r="G156" s="241">
        <f>G159-G158-G157</f>
        <v>196368570</v>
      </c>
      <c r="H156" s="52">
        <f>G156/G$159</f>
        <v>0.89848965063885566</v>
      </c>
    </row>
    <row r="157" spans="2:8" x14ac:dyDescent="0.2">
      <c r="B157" s="1" t="s">
        <v>1114</v>
      </c>
      <c r="C157" s="241">
        <v>23000000</v>
      </c>
      <c r="D157" s="241">
        <v>11500000</v>
      </c>
      <c r="E157" s="241">
        <v>4830918</v>
      </c>
      <c r="G157" s="241">
        <f>C157*(1-G161)</f>
        <v>17158000</v>
      </c>
      <c r="H157" s="52">
        <f t="shared" ref="H157:H158" si="23">G157/G$159</f>
        <v>7.8506888478443795E-2</v>
      </c>
    </row>
    <row r="158" spans="2:8" x14ac:dyDescent="0.2">
      <c r="B158" s="1" t="s">
        <v>1025</v>
      </c>
      <c r="C158" s="241">
        <v>5027500</v>
      </c>
      <c r="D158" s="241">
        <v>5027500</v>
      </c>
      <c r="E158" s="241">
        <v>5027500</v>
      </c>
      <c r="G158" s="241">
        <f>C158</f>
        <v>5027500</v>
      </c>
      <c r="H158" s="52">
        <f t="shared" si="23"/>
        <v>2.3003460882700562E-2</v>
      </c>
    </row>
    <row r="159" spans="2:8" x14ac:dyDescent="0.2">
      <c r="C159" s="242">
        <f>SUM(C156:C158)</f>
        <v>218554070</v>
      </c>
      <c r="D159" s="242">
        <f t="shared" ref="D159:E159" si="24">SUM(D156:D158)</f>
        <v>218554070</v>
      </c>
      <c r="E159" s="242">
        <f t="shared" si="24"/>
        <v>218554070</v>
      </c>
      <c r="G159" s="242">
        <f>C159</f>
        <v>218554070</v>
      </c>
    </row>
    <row r="161" spans="2:7" x14ac:dyDescent="0.2">
      <c r="C161" s="1">
        <f>($C$157-C157)/$C$157</f>
        <v>0</v>
      </c>
      <c r="D161" s="1">
        <f>($C$157-D157)/$C$157</f>
        <v>0.5</v>
      </c>
      <c r="E161" s="1">
        <f>($C$157-E157)/$C$157</f>
        <v>0.78996008695652176</v>
      </c>
      <c r="G161" s="555">
        <v>0.254</v>
      </c>
    </row>
    <row r="162" spans="2:7" x14ac:dyDescent="0.2">
      <c r="B162" s="1" t="s">
        <v>106</v>
      </c>
    </row>
    <row r="182" spans="1:12" x14ac:dyDescent="0.2">
      <c r="A182" s="1" t="s">
        <v>22</v>
      </c>
      <c r="B182" s="2" t="s">
        <v>406</v>
      </c>
    </row>
    <row r="183" spans="1:12" x14ac:dyDescent="0.2">
      <c r="B183" s="1" t="s">
        <v>631</v>
      </c>
      <c r="C183" s="1">
        <v>2023</v>
      </c>
      <c r="H183" s="1" t="s">
        <v>323</v>
      </c>
      <c r="I183" s="1" t="s">
        <v>324</v>
      </c>
      <c r="J183" s="1" t="s">
        <v>325</v>
      </c>
      <c r="K183" s="1" t="s">
        <v>326</v>
      </c>
      <c r="L183" s="1" t="s">
        <v>327</v>
      </c>
    </row>
    <row r="184" spans="1:12" x14ac:dyDescent="0.2">
      <c r="B184" s="1" t="s">
        <v>632</v>
      </c>
      <c r="C184" s="1">
        <v>615</v>
      </c>
      <c r="D184" s="1" t="s">
        <v>636</v>
      </c>
      <c r="H184" s="1">
        <v>133</v>
      </c>
      <c r="I184" s="1">
        <v>147</v>
      </c>
      <c r="J184" s="1">
        <v>160</v>
      </c>
      <c r="K184" s="1">
        <v>175</v>
      </c>
      <c r="L184" s="1">
        <v>177</v>
      </c>
    </row>
    <row r="185" spans="1:12" x14ac:dyDescent="0.2">
      <c r="B185" s="1" t="s">
        <v>633</v>
      </c>
      <c r="C185" s="1">
        <v>447</v>
      </c>
      <c r="H185" s="1">
        <v>75</v>
      </c>
      <c r="I185" s="1">
        <v>119</v>
      </c>
      <c r="J185" s="1">
        <v>117</v>
      </c>
      <c r="K185" s="1">
        <v>136</v>
      </c>
      <c r="L185" s="1">
        <v>109</v>
      </c>
    </row>
    <row r="187" spans="1:12" x14ac:dyDescent="0.2">
      <c r="B187" s="1" t="s">
        <v>635</v>
      </c>
      <c r="C187" s="1">
        <v>2023</v>
      </c>
    </row>
    <row r="188" spans="1:12" x14ac:dyDescent="0.2">
      <c r="B188" s="1" t="s">
        <v>634</v>
      </c>
      <c r="C188" s="1">
        <v>140</v>
      </c>
      <c r="H188" s="1">
        <v>27</v>
      </c>
      <c r="I188" s="1">
        <v>29</v>
      </c>
      <c r="J188" s="1">
        <v>33</v>
      </c>
      <c r="K188" s="1">
        <v>51</v>
      </c>
      <c r="L188" s="1">
        <v>46</v>
      </c>
    </row>
    <row r="189" spans="1:12" x14ac:dyDescent="0.2">
      <c r="B189" s="1" t="s">
        <v>164</v>
      </c>
      <c r="C189" s="1">
        <v>132</v>
      </c>
      <c r="H189" s="1">
        <v>30</v>
      </c>
      <c r="I189" s="1">
        <v>34</v>
      </c>
      <c r="J189" s="1">
        <v>32</v>
      </c>
      <c r="K189" s="1">
        <v>36</v>
      </c>
      <c r="L189" s="1">
        <v>48</v>
      </c>
    </row>
  </sheetData>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9C3C-3E80-4FBD-9B7E-BE050B10D19F}">
  <dimension ref="A2:AN34"/>
  <sheetViews>
    <sheetView topLeftCell="C1" zoomScale="70" zoomScaleNormal="70" workbookViewId="0">
      <selection activeCell="W16" sqref="W16:W18"/>
    </sheetView>
  </sheetViews>
  <sheetFormatPr defaultRowHeight="12.75" x14ac:dyDescent="0.2"/>
  <cols>
    <col min="2" max="2" width="9.28515625" bestFit="1" customWidth="1"/>
    <col min="18" max="18" width="14.42578125" bestFit="1" customWidth="1"/>
    <col min="19" max="19" width="19.85546875" customWidth="1"/>
    <col min="26" max="26" width="14.42578125" bestFit="1" customWidth="1"/>
    <col min="27" max="27" width="7.85546875" bestFit="1" customWidth="1"/>
    <col min="28" max="31" width="8.85546875" bestFit="1" customWidth="1"/>
    <col min="32" max="32" width="11.140625" customWidth="1"/>
  </cols>
  <sheetData>
    <row r="2" spans="1:40" x14ac:dyDescent="0.2">
      <c r="A2" s="317" t="s">
        <v>520</v>
      </c>
      <c r="B2" s="318">
        <v>45853</v>
      </c>
    </row>
    <row r="3" spans="1:40" x14ac:dyDescent="0.2">
      <c r="A3" s="317" t="s">
        <v>519</v>
      </c>
    </row>
    <row r="4" spans="1:40" x14ac:dyDescent="0.2">
      <c r="A4" s="317"/>
    </row>
    <row r="5" spans="1:40" x14ac:dyDescent="0.2">
      <c r="A5" s="317" t="s">
        <v>522</v>
      </c>
      <c r="J5" s="37" t="s">
        <v>521</v>
      </c>
      <c r="K5" s="6"/>
      <c r="L5" s="6"/>
      <c r="M5" s="6"/>
      <c r="N5" s="6"/>
      <c r="O5" s="6"/>
      <c r="P5" s="6"/>
      <c r="R5" s="37" t="s">
        <v>528</v>
      </c>
      <c r="S5" s="6"/>
      <c r="T5" s="6"/>
      <c r="U5" s="6"/>
      <c r="V5" s="6"/>
      <c r="W5" s="6"/>
      <c r="X5" s="6"/>
      <c r="Z5" s="317"/>
    </row>
    <row r="6" spans="1:40" x14ac:dyDescent="0.2">
      <c r="A6" s="317" t="s">
        <v>505</v>
      </c>
      <c r="B6" s="317" t="s">
        <v>506</v>
      </c>
      <c r="C6" s="317" t="s">
        <v>507</v>
      </c>
      <c r="D6" s="317" t="s">
        <v>508</v>
      </c>
      <c r="E6" s="317" t="s">
        <v>509</v>
      </c>
      <c r="F6" s="317" t="s">
        <v>510</v>
      </c>
      <c r="G6" s="317" t="s">
        <v>511</v>
      </c>
      <c r="H6" s="317" t="s">
        <v>512</v>
      </c>
      <c r="J6" s="6"/>
      <c r="K6" s="37" t="s">
        <v>523</v>
      </c>
      <c r="L6" s="6"/>
      <c r="M6" s="6"/>
      <c r="N6" s="6"/>
      <c r="O6" s="6"/>
      <c r="P6" s="6"/>
      <c r="R6" s="6"/>
      <c r="S6" s="37" t="s">
        <v>523</v>
      </c>
      <c r="T6" s="6"/>
      <c r="U6" s="6"/>
      <c r="V6" s="6"/>
      <c r="W6" s="6"/>
      <c r="X6" s="6"/>
    </row>
    <row r="7" spans="1:40" x14ac:dyDescent="0.2">
      <c r="A7" t="s">
        <v>513</v>
      </c>
      <c r="B7" t="s">
        <v>514</v>
      </c>
      <c r="C7" s="316">
        <v>45198200</v>
      </c>
      <c r="D7" t="s">
        <v>118</v>
      </c>
      <c r="E7">
        <v>1800</v>
      </c>
      <c r="F7">
        <v>50</v>
      </c>
      <c r="G7" s="316">
        <v>2259910000</v>
      </c>
      <c r="H7" t="s">
        <v>515</v>
      </c>
      <c r="J7" s="37" t="s">
        <v>508</v>
      </c>
      <c r="K7" s="319">
        <v>900</v>
      </c>
      <c r="L7" s="319">
        <v>1800</v>
      </c>
      <c r="M7" s="319">
        <v>2100</v>
      </c>
      <c r="N7" s="319">
        <v>2300</v>
      </c>
      <c r="O7" s="319">
        <v>2600</v>
      </c>
      <c r="P7" s="319" t="s">
        <v>28</v>
      </c>
      <c r="R7" s="37" t="s">
        <v>508</v>
      </c>
      <c r="S7" s="319" t="s">
        <v>524</v>
      </c>
      <c r="T7" s="319" t="s">
        <v>525</v>
      </c>
      <c r="U7" s="319" t="s">
        <v>526</v>
      </c>
      <c r="V7" s="319" t="s">
        <v>527</v>
      </c>
      <c r="W7" s="319" t="s">
        <v>529</v>
      </c>
      <c r="X7" s="319" t="s">
        <v>28</v>
      </c>
      <c r="Z7" s="317" t="s">
        <v>536</v>
      </c>
      <c r="AA7" s="319" t="s">
        <v>524</v>
      </c>
      <c r="AB7" s="319" t="s">
        <v>525</v>
      </c>
      <c r="AC7" s="319" t="s">
        <v>526</v>
      </c>
      <c r="AD7" s="319" t="s">
        <v>527</v>
      </c>
      <c r="AE7" s="319" t="s">
        <v>529</v>
      </c>
      <c r="AF7" s="319" t="s">
        <v>28</v>
      </c>
      <c r="AH7" s="317" t="s">
        <v>539</v>
      </c>
      <c r="AI7" s="319" t="s">
        <v>524</v>
      </c>
      <c r="AJ7" s="319" t="s">
        <v>525</v>
      </c>
      <c r="AK7" s="319" t="s">
        <v>526</v>
      </c>
      <c r="AL7" s="319" t="s">
        <v>527</v>
      </c>
      <c r="AM7" s="319" t="s">
        <v>529</v>
      </c>
      <c r="AN7" s="319" t="s">
        <v>28</v>
      </c>
    </row>
    <row r="8" spans="1:40" x14ac:dyDescent="0.2">
      <c r="A8" t="s">
        <v>513</v>
      </c>
      <c r="B8" t="s">
        <v>514</v>
      </c>
      <c r="C8" s="316">
        <v>45198200</v>
      </c>
      <c r="D8" t="s">
        <v>118</v>
      </c>
      <c r="E8">
        <v>1800</v>
      </c>
      <c r="F8">
        <v>20</v>
      </c>
      <c r="G8" s="316">
        <v>903964000</v>
      </c>
      <c r="H8" t="s">
        <v>515</v>
      </c>
      <c r="J8" s="6" t="s">
        <v>118</v>
      </c>
      <c r="K8" s="26">
        <f>SUMIFS($F$7:$F$34,$D$7:$D$34,$J8,$E$7:$E$34,K$7)</f>
        <v>12.4</v>
      </c>
      <c r="L8" s="26">
        <f>SUMIFS($F$7:$F$34,$D$7:$D$34,$J8,$E$7:$E$34,L$7)</f>
        <v>70</v>
      </c>
      <c r="M8" s="26">
        <f t="shared" ref="M8:O8" si="0">SUMIFS($F$7:$F$34,$D$7:$D$34,$J8,$E$7:$E$34,M$7)</f>
        <v>40</v>
      </c>
      <c r="N8" s="26">
        <f t="shared" si="0"/>
        <v>40</v>
      </c>
      <c r="O8" s="26">
        <f t="shared" si="0"/>
        <v>30</v>
      </c>
      <c r="P8" s="319">
        <f>SUM(K8:O8)</f>
        <v>192.4</v>
      </c>
      <c r="R8" s="6" t="s">
        <v>118</v>
      </c>
      <c r="S8" s="328">
        <v>20</v>
      </c>
      <c r="T8" s="328">
        <v>70</v>
      </c>
      <c r="U8" s="328">
        <v>40</v>
      </c>
      <c r="V8" s="328">
        <v>40</v>
      </c>
      <c r="W8" s="328">
        <v>30</v>
      </c>
      <c r="X8" s="319">
        <f>SUM(S8:W8)</f>
        <v>200</v>
      </c>
      <c r="Z8" t="s">
        <v>118</v>
      </c>
      <c r="AA8">
        <v>20</v>
      </c>
      <c r="AB8">
        <v>70</v>
      </c>
      <c r="AC8">
        <v>40</v>
      </c>
      <c r="AD8">
        <v>40</v>
      </c>
      <c r="AE8">
        <v>30</v>
      </c>
      <c r="AF8">
        <f>SUM(AA8:AE8)</f>
        <v>200</v>
      </c>
      <c r="AH8" t="s">
        <v>118</v>
      </c>
      <c r="AI8">
        <f>S8-AA8</f>
        <v>0</v>
      </c>
      <c r="AJ8">
        <f t="shared" ref="AJ8:AN8" si="1">T8-AB8</f>
        <v>0</v>
      </c>
      <c r="AK8">
        <f t="shared" si="1"/>
        <v>0</v>
      </c>
      <c r="AL8">
        <f t="shared" si="1"/>
        <v>0</v>
      </c>
      <c r="AM8">
        <f t="shared" si="1"/>
        <v>0</v>
      </c>
      <c r="AN8">
        <f t="shared" si="1"/>
        <v>0</v>
      </c>
    </row>
    <row r="9" spans="1:40" x14ac:dyDescent="0.2">
      <c r="A9" t="s">
        <v>513</v>
      </c>
      <c r="B9" t="s">
        <v>514</v>
      </c>
      <c r="C9" s="316">
        <v>45198200</v>
      </c>
      <c r="D9" t="s">
        <v>133</v>
      </c>
      <c r="E9">
        <v>1800</v>
      </c>
      <c r="F9">
        <v>30</v>
      </c>
      <c r="G9" s="316">
        <v>1355946000</v>
      </c>
      <c r="H9" t="s">
        <v>515</v>
      </c>
      <c r="J9" s="6" t="s">
        <v>133</v>
      </c>
      <c r="K9" s="26">
        <f t="shared" ref="K9:O12" si="2">SUMIFS($F$7:$F$34,$D$7:$D$34,$J9,$E$7:$E$34,K$7)</f>
        <v>10</v>
      </c>
      <c r="L9" s="26">
        <f t="shared" si="2"/>
        <v>30</v>
      </c>
      <c r="M9" s="26">
        <f t="shared" si="2"/>
        <v>40</v>
      </c>
      <c r="N9" s="26">
        <f t="shared" si="2"/>
        <v>0</v>
      </c>
      <c r="O9" s="26">
        <f t="shared" si="2"/>
        <v>30</v>
      </c>
      <c r="P9" s="319">
        <f t="shared" ref="P9:P12" si="3">SUM(K9:O9)</f>
        <v>110</v>
      </c>
      <c r="R9" s="6" t="s">
        <v>136</v>
      </c>
      <c r="S9" s="328">
        <v>15.8</v>
      </c>
      <c r="T9" s="328">
        <v>50</v>
      </c>
      <c r="U9" s="328">
        <v>40</v>
      </c>
      <c r="V9" s="328">
        <v>0</v>
      </c>
      <c r="W9" s="328">
        <v>55</v>
      </c>
      <c r="X9" s="319">
        <f t="shared" ref="X9:X12" si="4">SUM(S9:W9)</f>
        <v>160.80000000000001</v>
      </c>
      <c r="Z9" t="s">
        <v>136</v>
      </c>
      <c r="AA9">
        <v>10</v>
      </c>
      <c r="AB9">
        <v>50</v>
      </c>
      <c r="AC9">
        <v>40</v>
      </c>
      <c r="AE9">
        <v>55</v>
      </c>
      <c r="AF9">
        <f t="shared" ref="AF9:AF10" si="5">SUM(AA9:AE9)</f>
        <v>155</v>
      </c>
      <c r="AH9" t="s">
        <v>136</v>
      </c>
      <c r="AI9">
        <f t="shared" ref="AI9:AN9" si="6">S10-AA9</f>
        <v>1.1999999999999993</v>
      </c>
      <c r="AJ9">
        <f t="shared" si="6"/>
        <v>-20</v>
      </c>
      <c r="AK9">
        <f t="shared" si="6"/>
        <v>0</v>
      </c>
      <c r="AL9">
        <f t="shared" si="6"/>
        <v>0</v>
      </c>
      <c r="AM9">
        <f t="shared" si="6"/>
        <v>-25</v>
      </c>
      <c r="AN9">
        <f t="shared" si="6"/>
        <v>-43.8</v>
      </c>
    </row>
    <row r="10" spans="1:40" x14ac:dyDescent="0.2">
      <c r="A10" t="s">
        <v>513</v>
      </c>
      <c r="B10" t="s">
        <v>514</v>
      </c>
      <c r="C10" s="316">
        <v>45198200</v>
      </c>
      <c r="D10" t="s">
        <v>136</v>
      </c>
      <c r="E10">
        <v>1800</v>
      </c>
      <c r="F10">
        <v>40</v>
      </c>
      <c r="G10" s="316">
        <v>1807928000</v>
      </c>
      <c r="H10" t="s">
        <v>515</v>
      </c>
      <c r="J10" s="6" t="s">
        <v>136</v>
      </c>
      <c r="K10" s="26">
        <f t="shared" si="2"/>
        <v>10</v>
      </c>
      <c r="L10" s="26">
        <f t="shared" si="2"/>
        <v>50</v>
      </c>
      <c r="M10" s="26">
        <f t="shared" si="2"/>
        <v>40</v>
      </c>
      <c r="N10" s="26">
        <f t="shared" si="2"/>
        <v>0</v>
      </c>
      <c r="O10" s="26">
        <f t="shared" si="2"/>
        <v>60</v>
      </c>
      <c r="P10" s="319">
        <f t="shared" si="3"/>
        <v>160</v>
      </c>
      <c r="R10" s="6" t="s">
        <v>133</v>
      </c>
      <c r="S10" s="328">
        <v>11.2</v>
      </c>
      <c r="T10" s="328">
        <v>30</v>
      </c>
      <c r="U10" s="328">
        <v>40</v>
      </c>
      <c r="V10" s="328">
        <v>0</v>
      </c>
      <c r="W10" s="328">
        <v>30</v>
      </c>
      <c r="X10" s="319">
        <f t="shared" si="4"/>
        <v>111.2</v>
      </c>
      <c r="Z10" t="s">
        <v>133</v>
      </c>
      <c r="AA10">
        <v>10</v>
      </c>
      <c r="AB10">
        <v>30</v>
      </c>
      <c r="AC10">
        <v>40</v>
      </c>
      <c r="AE10">
        <v>30</v>
      </c>
      <c r="AF10">
        <f t="shared" si="5"/>
        <v>110</v>
      </c>
      <c r="AH10" t="s">
        <v>133</v>
      </c>
      <c r="AI10">
        <f t="shared" ref="AI10:AN10" si="7">S9-AA10</f>
        <v>5.8000000000000007</v>
      </c>
      <c r="AJ10">
        <f t="shared" si="7"/>
        <v>20</v>
      </c>
      <c r="AK10">
        <f t="shared" si="7"/>
        <v>0</v>
      </c>
      <c r="AL10">
        <f t="shared" si="7"/>
        <v>0</v>
      </c>
      <c r="AM10">
        <f t="shared" si="7"/>
        <v>25</v>
      </c>
      <c r="AN10">
        <f t="shared" si="7"/>
        <v>50.800000000000011</v>
      </c>
    </row>
    <row r="11" spans="1:40" x14ac:dyDescent="0.2">
      <c r="A11" t="s">
        <v>513</v>
      </c>
      <c r="B11" t="s">
        <v>514</v>
      </c>
      <c r="C11" s="316">
        <v>45198200</v>
      </c>
      <c r="D11" t="s">
        <v>136</v>
      </c>
      <c r="E11">
        <v>1800</v>
      </c>
      <c r="F11">
        <v>10</v>
      </c>
      <c r="G11" s="316">
        <v>451982000</v>
      </c>
      <c r="H11" t="s">
        <v>515</v>
      </c>
      <c r="J11" s="6" t="s">
        <v>516</v>
      </c>
      <c r="K11" s="26">
        <f t="shared" si="2"/>
        <v>0</v>
      </c>
      <c r="L11" s="26">
        <f t="shared" si="2"/>
        <v>0</v>
      </c>
      <c r="M11" s="26">
        <f t="shared" si="2"/>
        <v>0</v>
      </c>
      <c r="N11" s="26">
        <f t="shared" si="2"/>
        <v>0</v>
      </c>
      <c r="O11" s="26">
        <f t="shared" si="2"/>
        <v>0</v>
      </c>
      <c r="P11" s="319">
        <f t="shared" si="3"/>
        <v>0</v>
      </c>
      <c r="R11" s="6" t="s">
        <v>516</v>
      </c>
      <c r="S11" s="328">
        <v>0</v>
      </c>
      <c r="T11" s="328">
        <v>0</v>
      </c>
      <c r="U11" s="328">
        <v>0</v>
      </c>
      <c r="V11" s="328">
        <v>0</v>
      </c>
      <c r="W11" s="328">
        <v>0</v>
      </c>
      <c r="X11" s="319">
        <f t="shared" si="4"/>
        <v>0</v>
      </c>
    </row>
    <row r="12" spans="1:40" x14ac:dyDescent="0.2">
      <c r="A12" t="s">
        <v>513</v>
      </c>
      <c r="B12" t="s">
        <v>514</v>
      </c>
      <c r="C12" s="316">
        <v>45198200</v>
      </c>
      <c r="D12" t="s">
        <v>118</v>
      </c>
      <c r="E12">
        <v>2100</v>
      </c>
      <c r="F12">
        <v>10</v>
      </c>
      <c r="G12" s="316">
        <v>451982000</v>
      </c>
      <c r="H12" t="s">
        <v>515</v>
      </c>
      <c r="J12" s="6" t="s">
        <v>518</v>
      </c>
      <c r="K12" s="26">
        <f t="shared" si="2"/>
        <v>37.6</v>
      </c>
      <c r="L12" s="26">
        <f t="shared" si="2"/>
        <v>0</v>
      </c>
      <c r="M12" s="26">
        <f t="shared" si="2"/>
        <v>0</v>
      </c>
      <c r="N12" s="26">
        <f t="shared" si="2"/>
        <v>0</v>
      </c>
      <c r="O12" s="26">
        <f t="shared" si="2"/>
        <v>0</v>
      </c>
      <c r="P12" s="319">
        <f t="shared" si="3"/>
        <v>37.6</v>
      </c>
      <c r="R12" s="6" t="s">
        <v>518</v>
      </c>
      <c r="S12" s="328">
        <v>37.6</v>
      </c>
      <c r="T12" s="328">
        <v>0</v>
      </c>
      <c r="U12" s="328">
        <v>0</v>
      </c>
      <c r="V12" s="328">
        <v>0</v>
      </c>
      <c r="W12" s="328">
        <v>0</v>
      </c>
      <c r="X12" s="319">
        <f t="shared" si="4"/>
        <v>37.6</v>
      </c>
    </row>
    <row r="13" spans="1:40" x14ac:dyDescent="0.2">
      <c r="A13" t="s">
        <v>513</v>
      </c>
      <c r="B13" t="s">
        <v>514</v>
      </c>
      <c r="C13" s="316">
        <v>45198200</v>
      </c>
      <c r="D13" t="s">
        <v>118</v>
      </c>
      <c r="E13">
        <v>2100</v>
      </c>
      <c r="F13">
        <v>30</v>
      </c>
      <c r="G13" s="316">
        <v>1355946000</v>
      </c>
      <c r="H13" t="s">
        <v>515</v>
      </c>
      <c r="Z13" s="322" t="s">
        <v>537</v>
      </c>
    </row>
    <row r="14" spans="1:40" x14ac:dyDescent="0.2">
      <c r="A14" t="s">
        <v>513</v>
      </c>
      <c r="B14" t="s">
        <v>824</v>
      </c>
      <c r="C14" s="316">
        <v>42798200</v>
      </c>
      <c r="D14" t="s">
        <v>133</v>
      </c>
      <c r="E14">
        <v>2100</v>
      </c>
      <c r="F14">
        <v>10</v>
      </c>
      <c r="G14" s="316">
        <v>427982000</v>
      </c>
      <c r="H14" t="s">
        <v>515</v>
      </c>
      <c r="R14" s="281"/>
      <c r="S14" t="s">
        <v>534</v>
      </c>
      <c r="T14" t="s">
        <v>534</v>
      </c>
      <c r="Z14" s="321" t="s">
        <v>538</v>
      </c>
    </row>
    <row r="15" spans="1:40" x14ac:dyDescent="0.2">
      <c r="A15" t="s">
        <v>513</v>
      </c>
      <c r="B15" t="s">
        <v>514</v>
      </c>
      <c r="C15" s="316">
        <v>45198200</v>
      </c>
      <c r="D15" t="s">
        <v>133</v>
      </c>
      <c r="E15">
        <v>2100</v>
      </c>
      <c r="F15">
        <v>30</v>
      </c>
      <c r="G15" s="316">
        <v>1355946000</v>
      </c>
      <c r="H15" t="s">
        <v>515</v>
      </c>
      <c r="S15" t="s">
        <v>535</v>
      </c>
      <c r="T15" t="s">
        <v>131</v>
      </c>
      <c r="U15" t="s">
        <v>530</v>
      </c>
      <c r="V15" t="s">
        <v>531</v>
      </c>
      <c r="W15" t="s">
        <v>532</v>
      </c>
      <c r="X15" t="s">
        <v>533</v>
      </c>
    </row>
    <row r="16" spans="1:40" x14ac:dyDescent="0.2">
      <c r="A16" t="s">
        <v>513</v>
      </c>
      <c r="B16" t="s">
        <v>514</v>
      </c>
      <c r="C16" s="316">
        <v>45198200</v>
      </c>
      <c r="D16" t="s">
        <v>136</v>
      </c>
      <c r="E16">
        <v>2100</v>
      </c>
      <c r="F16">
        <v>20</v>
      </c>
      <c r="G16" s="316">
        <v>903964000</v>
      </c>
      <c r="H16" t="s">
        <v>515</v>
      </c>
      <c r="R16" s="6" t="s">
        <v>118</v>
      </c>
      <c r="S16" s="445">
        <v>37274</v>
      </c>
      <c r="T16" s="445">
        <v>23009.719000000001</v>
      </c>
      <c r="U16" s="445">
        <v>200</v>
      </c>
      <c r="V16" s="320">
        <f>S16/S$19</f>
        <v>0.50107544227563583</v>
      </c>
      <c r="W16" s="320">
        <f t="shared" ref="W16:X16" si="8">T16/T$19</f>
        <v>0.47200000000000003</v>
      </c>
      <c r="X16" s="320">
        <f t="shared" si="8"/>
        <v>0.42372881355932202</v>
      </c>
    </row>
    <row r="17" spans="1:24" x14ac:dyDescent="0.2">
      <c r="A17" t="s">
        <v>513</v>
      </c>
      <c r="B17" t="s">
        <v>824</v>
      </c>
      <c r="C17" s="316">
        <v>42798200</v>
      </c>
      <c r="D17" t="s">
        <v>136</v>
      </c>
      <c r="E17">
        <v>2100</v>
      </c>
      <c r="F17">
        <v>10</v>
      </c>
      <c r="G17" s="316">
        <v>427982000</v>
      </c>
      <c r="H17" t="s">
        <v>515</v>
      </c>
      <c r="R17" s="6" t="s">
        <v>136</v>
      </c>
      <c r="S17" s="445">
        <v>24442</v>
      </c>
      <c r="T17" s="445">
        <v>15794.807110169493</v>
      </c>
      <c r="U17" s="445">
        <v>160.80000000000001</v>
      </c>
      <c r="V17" s="320">
        <f t="shared" ref="V17:V18" si="9">S17/S$19</f>
        <v>0.32857450126364468</v>
      </c>
      <c r="W17" s="320">
        <f t="shared" ref="W17:W18" si="10">T17/T$19</f>
        <v>0.32400000000000007</v>
      </c>
      <c r="X17" s="320">
        <f t="shared" ref="X17:X18" si="11">U17/U$19</f>
        <v>0.34067796610169493</v>
      </c>
    </row>
    <row r="18" spans="1:24" x14ac:dyDescent="0.2">
      <c r="A18" t="s">
        <v>513</v>
      </c>
      <c r="B18" t="s">
        <v>824</v>
      </c>
      <c r="C18" s="316">
        <v>42798200</v>
      </c>
      <c r="D18" t="s">
        <v>136</v>
      </c>
      <c r="E18">
        <v>2100</v>
      </c>
      <c r="F18">
        <v>10</v>
      </c>
      <c r="G18" s="316">
        <v>427982000</v>
      </c>
      <c r="H18" t="s">
        <v>515</v>
      </c>
      <c r="R18" s="6" t="s">
        <v>133</v>
      </c>
      <c r="S18" s="151">
        <f>6336*2</f>
        <v>12672</v>
      </c>
      <c r="T18" s="445">
        <v>9944.8785508474557</v>
      </c>
      <c r="U18" s="445">
        <v>111.2</v>
      </c>
      <c r="V18" s="320">
        <f t="shared" si="9"/>
        <v>0.17035005646071946</v>
      </c>
      <c r="W18" s="320">
        <f t="shared" si="10"/>
        <v>0.20399999999999996</v>
      </c>
      <c r="X18" s="320">
        <f t="shared" si="11"/>
        <v>0.23559322033898306</v>
      </c>
    </row>
    <row r="19" spans="1:24" x14ac:dyDescent="0.2">
      <c r="A19" t="s">
        <v>513</v>
      </c>
      <c r="B19" t="s">
        <v>514</v>
      </c>
      <c r="C19" s="316">
        <v>45198200</v>
      </c>
      <c r="D19" t="s">
        <v>118</v>
      </c>
      <c r="E19">
        <v>2300</v>
      </c>
      <c r="F19">
        <v>40</v>
      </c>
      <c r="G19" s="316">
        <v>1807928000</v>
      </c>
      <c r="H19" t="s">
        <v>517</v>
      </c>
      <c r="S19">
        <f>SUM(S16:S18)</f>
        <v>74388</v>
      </c>
      <c r="T19">
        <f>SUM(T16:T18)</f>
        <v>48749.404661016946</v>
      </c>
      <c r="U19">
        <f>SUM(U16:U18)</f>
        <v>472</v>
      </c>
    </row>
    <row r="20" spans="1:24" x14ac:dyDescent="0.2">
      <c r="A20" t="s">
        <v>513</v>
      </c>
      <c r="B20" t="s">
        <v>514</v>
      </c>
      <c r="C20" s="316">
        <v>45198200</v>
      </c>
      <c r="D20" t="s">
        <v>118</v>
      </c>
      <c r="E20">
        <v>2600</v>
      </c>
      <c r="F20">
        <v>30</v>
      </c>
      <c r="G20" s="316">
        <v>1355946000</v>
      </c>
      <c r="H20" t="s">
        <v>515</v>
      </c>
    </row>
    <row r="21" spans="1:24" x14ac:dyDescent="0.2">
      <c r="A21" t="s">
        <v>513</v>
      </c>
      <c r="B21" t="s">
        <v>514</v>
      </c>
      <c r="C21" s="316">
        <v>45198200</v>
      </c>
      <c r="D21" t="s">
        <v>133</v>
      </c>
      <c r="E21">
        <v>2600</v>
      </c>
      <c r="F21">
        <v>10</v>
      </c>
      <c r="G21" s="316">
        <v>451982000</v>
      </c>
      <c r="H21" t="s">
        <v>515</v>
      </c>
    </row>
    <row r="22" spans="1:24" x14ac:dyDescent="0.2">
      <c r="A22" t="s">
        <v>513</v>
      </c>
      <c r="B22" t="s">
        <v>514</v>
      </c>
      <c r="C22" s="316">
        <v>45198200</v>
      </c>
      <c r="D22" t="s">
        <v>133</v>
      </c>
      <c r="E22">
        <v>2600</v>
      </c>
      <c r="F22">
        <v>20</v>
      </c>
      <c r="G22" s="316">
        <v>903964000</v>
      </c>
      <c r="H22" t="s">
        <v>515</v>
      </c>
    </row>
    <row r="23" spans="1:24" x14ac:dyDescent="0.2">
      <c r="A23" t="s">
        <v>513</v>
      </c>
      <c r="B23" t="s">
        <v>514</v>
      </c>
      <c r="C23" s="316">
        <v>45198200</v>
      </c>
      <c r="D23" t="s">
        <v>136</v>
      </c>
      <c r="E23">
        <v>2600</v>
      </c>
      <c r="F23">
        <v>20</v>
      </c>
      <c r="G23" s="316">
        <v>903964000</v>
      </c>
      <c r="H23" t="s">
        <v>515</v>
      </c>
    </row>
    <row r="24" spans="1:24" x14ac:dyDescent="0.2">
      <c r="A24" t="s">
        <v>513</v>
      </c>
      <c r="B24" t="s">
        <v>514</v>
      </c>
      <c r="C24" s="316">
        <v>45198200</v>
      </c>
      <c r="D24" t="s">
        <v>136</v>
      </c>
      <c r="E24">
        <v>2600</v>
      </c>
      <c r="F24">
        <v>5</v>
      </c>
      <c r="G24" s="316">
        <v>225991000</v>
      </c>
      <c r="H24" t="s">
        <v>517</v>
      </c>
    </row>
    <row r="25" spans="1:24" x14ac:dyDescent="0.2">
      <c r="A25" t="s">
        <v>513</v>
      </c>
      <c r="B25" t="s">
        <v>514</v>
      </c>
      <c r="C25" s="316">
        <v>45198200</v>
      </c>
      <c r="D25" t="s">
        <v>136</v>
      </c>
      <c r="E25">
        <v>2600</v>
      </c>
      <c r="F25">
        <v>35</v>
      </c>
      <c r="G25" s="316">
        <v>1581937000</v>
      </c>
      <c r="H25" t="s">
        <v>517</v>
      </c>
    </row>
    <row r="26" spans="1:24" x14ac:dyDescent="0.2">
      <c r="A26" t="s">
        <v>513</v>
      </c>
      <c r="B26" t="s">
        <v>514</v>
      </c>
      <c r="C26" s="316">
        <v>45198200</v>
      </c>
      <c r="D26" t="s">
        <v>118</v>
      </c>
      <c r="E26">
        <v>900</v>
      </c>
      <c r="F26">
        <v>12.4</v>
      </c>
      <c r="G26" s="316">
        <v>560457680</v>
      </c>
      <c r="H26" t="s">
        <v>515</v>
      </c>
    </row>
    <row r="27" spans="1:24" x14ac:dyDescent="0.2">
      <c r="A27" t="s">
        <v>513</v>
      </c>
      <c r="B27" t="s">
        <v>514</v>
      </c>
      <c r="C27" s="316">
        <v>45198200</v>
      </c>
      <c r="D27" t="s">
        <v>133</v>
      </c>
      <c r="E27">
        <v>900</v>
      </c>
      <c r="F27">
        <v>10</v>
      </c>
      <c r="G27" s="316">
        <v>451982000</v>
      </c>
      <c r="H27" t="s">
        <v>515</v>
      </c>
    </row>
    <row r="28" spans="1:24" x14ac:dyDescent="0.2">
      <c r="A28" t="s">
        <v>513</v>
      </c>
      <c r="B28" t="s">
        <v>514</v>
      </c>
      <c r="C28" s="316">
        <v>45198200</v>
      </c>
      <c r="D28" t="s">
        <v>518</v>
      </c>
      <c r="E28">
        <v>900</v>
      </c>
      <c r="F28">
        <v>20</v>
      </c>
      <c r="G28" s="316">
        <v>903964000</v>
      </c>
      <c r="H28" t="s">
        <v>515</v>
      </c>
    </row>
    <row r="29" spans="1:24" x14ac:dyDescent="0.2">
      <c r="A29" t="s">
        <v>513</v>
      </c>
      <c r="B29" t="s">
        <v>514</v>
      </c>
      <c r="C29" s="316">
        <v>45198200</v>
      </c>
      <c r="D29" t="s">
        <v>518</v>
      </c>
      <c r="E29">
        <v>900</v>
      </c>
      <c r="F29">
        <v>17.600000000000001</v>
      </c>
      <c r="G29" s="316">
        <v>795488320</v>
      </c>
      <c r="H29" t="s">
        <v>515</v>
      </c>
    </row>
    <row r="30" spans="1:24" x14ac:dyDescent="0.2">
      <c r="A30" t="s">
        <v>513</v>
      </c>
      <c r="B30" t="s">
        <v>514</v>
      </c>
      <c r="C30" s="316">
        <v>45198200</v>
      </c>
      <c r="D30" t="s">
        <v>136</v>
      </c>
      <c r="E30">
        <v>900</v>
      </c>
      <c r="F30">
        <v>10</v>
      </c>
      <c r="G30" s="316">
        <v>451982000</v>
      </c>
      <c r="H30" t="s">
        <v>515</v>
      </c>
    </row>
    <row r="31" spans="1:24" x14ac:dyDescent="0.2">
      <c r="C31" s="316"/>
      <c r="G31" s="316"/>
    </row>
    <row r="32" spans="1:24" x14ac:dyDescent="0.2">
      <c r="C32" s="316"/>
      <c r="G32" s="316"/>
    </row>
    <row r="33" spans="3:10" x14ac:dyDescent="0.2">
      <c r="C33" s="316"/>
      <c r="G33" s="316"/>
      <c r="J33" s="586" t="s">
        <v>1133</v>
      </c>
    </row>
    <row r="34" spans="3:10" x14ac:dyDescent="0.2">
      <c r="C34" s="316"/>
      <c r="G34" s="316"/>
    </row>
  </sheetData>
  <hyperlinks>
    <hyperlink ref="Z13" r:id="rId1" xr:uid="{C5E7954C-9239-4591-954C-DB89EDC7BC7C}"/>
  </hyperlinks>
  <pageMargins left="0.7" right="0.7" top="0.75" bottom="0.75" header="0.3" footer="0.3"/>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A517-58BA-44F4-AF74-32B0E44C556A}">
  <dimension ref="A2:X127"/>
  <sheetViews>
    <sheetView zoomScale="70" zoomScaleNormal="70" workbookViewId="0">
      <pane xSplit="2" ySplit="5" topLeftCell="D73" activePane="bottomRight" state="frozen"/>
      <selection pane="topRight" activeCell="C1" sqref="C1"/>
      <selection pane="bottomLeft" activeCell="A6" sqref="A6"/>
      <selection pane="bottomRight" activeCell="E88" sqref="E88"/>
    </sheetView>
  </sheetViews>
  <sheetFormatPr defaultColWidth="8.7109375" defaultRowHeight="12.75" x14ac:dyDescent="0.2"/>
  <cols>
    <col min="1" max="1" width="8.7109375" style="351"/>
    <col min="2" max="2" width="14.85546875" style="352" bestFit="1" customWidth="1"/>
    <col min="3" max="3" width="9.42578125" style="352" hidden="1" customWidth="1"/>
    <col min="4" max="15" width="8.42578125" style="351" customWidth="1"/>
    <col min="16" max="17" width="15.42578125" style="351" customWidth="1"/>
    <col min="18" max="22" width="8.7109375" style="351"/>
    <col min="23" max="23" width="15.42578125" style="351" bestFit="1" customWidth="1"/>
    <col min="24" max="24" width="16.42578125" style="352" bestFit="1" customWidth="1"/>
    <col min="25" max="16384" width="8.7109375" style="352"/>
  </cols>
  <sheetData>
    <row r="2" spans="1:24" x14ac:dyDescent="0.2">
      <c r="B2" s="348" t="s">
        <v>675</v>
      </c>
    </row>
    <row r="3" spans="1:24" x14ac:dyDescent="0.2">
      <c r="B3" s="348" t="s">
        <v>520</v>
      </c>
      <c r="C3" s="349">
        <v>45855</v>
      </c>
      <c r="D3" s="350"/>
      <c r="E3" s="350"/>
      <c r="F3" s="350"/>
    </row>
    <row r="5" spans="1:24" x14ac:dyDescent="0.2">
      <c r="A5" s="351" t="s">
        <v>22</v>
      </c>
      <c r="B5" s="348" t="s">
        <v>711</v>
      </c>
    </row>
    <row r="7" spans="1:24" ht="25.9" customHeight="1" x14ac:dyDescent="0.2">
      <c r="B7" s="388" t="s">
        <v>743</v>
      </c>
      <c r="C7" s="368"/>
      <c r="D7" s="370"/>
      <c r="E7" s="370"/>
      <c r="F7" s="370"/>
      <c r="G7" s="370"/>
      <c r="H7" s="369"/>
      <c r="I7" s="370"/>
      <c r="J7" s="370"/>
      <c r="K7" s="370"/>
      <c r="L7" s="370"/>
      <c r="M7" s="370"/>
      <c r="N7" s="369"/>
      <c r="O7" s="378"/>
      <c r="S7" s="396" t="s">
        <v>521</v>
      </c>
    </row>
    <row r="8" spans="1:24" ht="24" x14ac:dyDescent="0.2">
      <c r="B8" s="389"/>
      <c r="C8" s="376"/>
      <c r="D8" s="371" t="s">
        <v>741</v>
      </c>
      <c r="E8" s="371" t="s">
        <v>741</v>
      </c>
      <c r="F8" s="371" t="s">
        <v>742</v>
      </c>
      <c r="G8" s="372" t="s">
        <v>742</v>
      </c>
      <c r="H8" s="371" t="s">
        <v>741</v>
      </c>
      <c r="I8" s="373"/>
      <c r="J8" s="373"/>
      <c r="K8" s="373"/>
      <c r="L8" s="373"/>
      <c r="M8" s="374"/>
      <c r="N8" s="375"/>
      <c r="O8" s="374"/>
      <c r="T8" s="359" t="s">
        <v>646</v>
      </c>
      <c r="U8" s="359" t="s">
        <v>746</v>
      </c>
      <c r="V8" s="359" t="s">
        <v>649</v>
      </c>
      <c r="W8" s="359" t="s">
        <v>750</v>
      </c>
      <c r="X8" s="348" t="s">
        <v>749</v>
      </c>
    </row>
    <row r="9" spans="1:24" x14ac:dyDescent="0.2">
      <c r="B9" s="390" t="s">
        <v>664</v>
      </c>
      <c r="C9" s="366"/>
      <c r="D9" s="379" t="s">
        <v>665</v>
      </c>
      <c r="E9" s="379" t="s">
        <v>665</v>
      </c>
      <c r="F9" s="379" t="s">
        <v>665</v>
      </c>
      <c r="G9" s="380" t="s">
        <v>665</v>
      </c>
      <c r="H9" s="379" t="s">
        <v>665</v>
      </c>
      <c r="I9" s="379" t="s">
        <v>665</v>
      </c>
      <c r="J9" s="379" t="s">
        <v>665</v>
      </c>
      <c r="K9" s="379" t="s">
        <v>665</v>
      </c>
      <c r="L9" s="379" t="s">
        <v>665</v>
      </c>
      <c r="M9" s="380" t="s">
        <v>665</v>
      </c>
      <c r="N9" s="381" t="s">
        <v>665</v>
      </c>
      <c r="O9" s="380" t="s">
        <v>665</v>
      </c>
      <c r="R9" s="396" t="s">
        <v>745</v>
      </c>
      <c r="S9" s="396"/>
    </row>
    <row r="10" spans="1:24" x14ac:dyDescent="0.2">
      <c r="B10" s="391" t="s">
        <v>648</v>
      </c>
      <c r="C10" s="366"/>
      <c r="D10" s="379" t="s">
        <v>662</v>
      </c>
      <c r="E10" s="379" t="s">
        <v>659</v>
      </c>
      <c r="F10" s="379" t="s">
        <v>662</v>
      </c>
      <c r="G10" s="380" t="s">
        <v>659</v>
      </c>
      <c r="H10" s="379" t="s">
        <v>687</v>
      </c>
      <c r="I10" s="379" t="s">
        <v>686</v>
      </c>
      <c r="J10" s="379" t="s">
        <v>688</v>
      </c>
      <c r="K10" s="379" t="s">
        <v>689</v>
      </c>
      <c r="L10" s="379" t="s">
        <v>684</v>
      </c>
      <c r="M10" s="380" t="s">
        <v>685</v>
      </c>
      <c r="N10" s="381" t="s">
        <v>712</v>
      </c>
      <c r="O10" s="380" t="s">
        <v>713</v>
      </c>
      <c r="S10" s="397" t="s">
        <v>118</v>
      </c>
      <c r="T10" s="395">
        <f>D11</f>
        <v>220</v>
      </c>
      <c r="U10" s="351" t="s">
        <v>653</v>
      </c>
      <c r="X10" s="401">
        <f>T11/T10-1</f>
        <v>-9.0909090909090939E-2</v>
      </c>
    </row>
    <row r="11" spans="1:24" x14ac:dyDescent="0.2">
      <c r="B11" s="391" t="s">
        <v>646</v>
      </c>
      <c r="C11" s="366"/>
      <c r="D11" s="379">
        <v>220</v>
      </c>
      <c r="E11" s="379">
        <v>350</v>
      </c>
      <c r="F11" s="379">
        <v>350</v>
      </c>
      <c r="G11" s="380">
        <v>500</v>
      </c>
      <c r="H11" s="379">
        <v>200</v>
      </c>
      <c r="I11" s="379">
        <v>270</v>
      </c>
      <c r="J11" s="379">
        <v>330</v>
      </c>
      <c r="K11" s="379">
        <v>450</v>
      </c>
      <c r="L11" s="379">
        <v>320</v>
      </c>
      <c r="M11" s="380">
        <v>500</v>
      </c>
      <c r="N11" s="381">
        <v>190</v>
      </c>
      <c r="O11" s="380">
        <v>350</v>
      </c>
      <c r="S11" s="398" t="s">
        <v>136</v>
      </c>
      <c r="T11" s="395">
        <f>H11</f>
        <v>200</v>
      </c>
      <c r="U11" s="351" t="s">
        <v>653</v>
      </c>
      <c r="W11" s="400">
        <f>T10/T11-1</f>
        <v>0.10000000000000009</v>
      </c>
      <c r="X11" s="401"/>
    </row>
    <row r="12" spans="1:24" x14ac:dyDescent="0.2">
      <c r="B12" s="391" t="s">
        <v>647</v>
      </c>
      <c r="C12" s="366"/>
      <c r="D12" s="379" t="s">
        <v>653</v>
      </c>
      <c r="E12" s="379" t="s">
        <v>653</v>
      </c>
      <c r="F12" s="379">
        <v>20</v>
      </c>
      <c r="G12" s="380" t="s">
        <v>694</v>
      </c>
      <c r="H12" s="379" t="s">
        <v>653</v>
      </c>
      <c r="I12" s="379">
        <v>20</v>
      </c>
      <c r="J12" s="379">
        <v>30</v>
      </c>
      <c r="K12" s="379">
        <v>40</v>
      </c>
      <c r="L12" s="379">
        <v>30</v>
      </c>
      <c r="M12" s="380">
        <v>50</v>
      </c>
      <c r="N12" s="381">
        <v>25</v>
      </c>
      <c r="O12" s="380" t="s">
        <v>653</v>
      </c>
      <c r="S12" s="397" t="s">
        <v>133</v>
      </c>
      <c r="T12" s="395">
        <f>N11</f>
        <v>190</v>
      </c>
      <c r="U12" s="395">
        <f>N12</f>
        <v>25</v>
      </c>
      <c r="V12" s="351">
        <f>T12/U12</f>
        <v>7.6</v>
      </c>
      <c r="W12" s="400">
        <f>T10/T12-1</f>
        <v>0.15789473684210531</v>
      </c>
      <c r="X12" s="401">
        <f>T11/T12-1</f>
        <v>5.2631578947368363E-2</v>
      </c>
    </row>
    <row r="13" spans="1:24" s="365" customFormat="1" x14ac:dyDescent="0.2">
      <c r="A13" s="364"/>
      <c r="B13" s="391" t="s">
        <v>649</v>
      </c>
      <c r="C13" s="367"/>
      <c r="D13" s="385"/>
      <c r="E13" s="385"/>
      <c r="F13" s="385">
        <f>IFERROR(F11/F12,"")</f>
        <v>17.5</v>
      </c>
      <c r="G13" s="386"/>
      <c r="H13" s="385"/>
      <c r="I13" s="385">
        <f t="shared" ref="I13:N13" si="0">IFERROR(I11/I12,"")</f>
        <v>13.5</v>
      </c>
      <c r="J13" s="385">
        <f t="shared" si="0"/>
        <v>11</v>
      </c>
      <c r="K13" s="385">
        <f t="shared" si="0"/>
        <v>11.25</v>
      </c>
      <c r="L13" s="385">
        <f t="shared" si="0"/>
        <v>10.666666666666666</v>
      </c>
      <c r="M13" s="386">
        <f t="shared" si="0"/>
        <v>10</v>
      </c>
      <c r="N13" s="387">
        <f t="shared" si="0"/>
        <v>7.6</v>
      </c>
      <c r="O13" s="380"/>
      <c r="R13" s="364"/>
      <c r="S13" s="397"/>
      <c r="T13" s="364"/>
      <c r="U13" s="364"/>
      <c r="V13" s="364"/>
      <c r="W13" s="400">
        <f>AVERAGE(W10:W12)</f>
        <v>0.1289473684210527</v>
      </c>
      <c r="X13" s="401"/>
    </row>
    <row r="14" spans="1:24" s="365" customFormat="1" x14ac:dyDescent="0.2">
      <c r="A14" s="364"/>
      <c r="B14" s="391"/>
      <c r="C14" s="367"/>
      <c r="D14" s="379"/>
      <c r="E14" s="379"/>
      <c r="F14" s="379"/>
      <c r="G14" s="380"/>
      <c r="H14" s="379"/>
      <c r="I14" s="379"/>
      <c r="J14" s="379"/>
      <c r="K14" s="379"/>
      <c r="L14" s="379"/>
      <c r="M14" s="380"/>
      <c r="N14" s="381"/>
      <c r="O14" s="380"/>
      <c r="R14" s="399" t="s">
        <v>747</v>
      </c>
      <c r="S14" s="399"/>
      <c r="T14" s="364"/>
      <c r="U14" s="364"/>
      <c r="V14" s="364"/>
      <c r="W14" s="364"/>
      <c r="X14" s="401"/>
    </row>
    <row r="15" spans="1:24" s="365" customFormat="1" x14ac:dyDescent="0.2">
      <c r="A15" s="364"/>
      <c r="B15" s="392" t="s">
        <v>740</v>
      </c>
      <c r="C15" s="367"/>
      <c r="D15" s="379">
        <v>5</v>
      </c>
      <c r="E15" s="379">
        <v>5</v>
      </c>
      <c r="F15" s="379">
        <v>5</v>
      </c>
      <c r="G15" s="380">
        <v>5</v>
      </c>
      <c r="H15" s="379">
        <v>5</v>
      </c>
      <c r="I15" s="379">
        <v>5</v>
      </c>
      <c r="J15" s="379">
        <v>7</v>
      </c>
      <c r="K15" s="379">
        <v>10</v>
      </c>
      <c r="L15" s="379">
        <v>8</v>
      </c>
      <c r="M15" s="380">
        <v>13</v>
      </c>
      <c r="N15" s="381">
        <v>20</v>
      </c>
      <c r="O15" s="380">
        <v>25</v>
      </c>
      <c r="R15" s="364"/>
      <c r="S15" s="397" t="s">
        <v>118</v>
      </c>
      <c r="T15" s="395">
        <f>F11</f>
        <v>350</v>
      </c>
      <c r="U15" s="364">
        <f>F12</f>
        <v>20</v>
      </c>
      <c r="V15" s="351">
        <f>T15/U15</f>
        <v>17.5</v>
      </c>
      <c r="W15" s="400"/>
      <c r="X15" s="401"/>
    </row>
    <row r="16" spans="1:24" s="365" customFormat="1" x14ac:dyDescent="0.2">
      <c r="A16" s="364"/>
      <c r="B16" s="392" t="s">
        <v>716</v>
      </c>
      <c r="C16" s="367"/>
      <c r="D16" s="379">
        <v>150</v>
      </c>
      <c r="E16" s="379">
        <v>300</v>
      </c>
      <c r="F16" s="379">
        <v>300</v>
      </c>
      <c r="G16" s="380">
        <v>600</v>
      </c>
      <c r="H16" s="379">
        <v>800</v>
      </c>
      <c r="I16" s="379">
        <v>500</v>
      </c>
      <c r="J16" s="379">
        <v>600</v>
      </c>
      <c r="K16" s="379">
        <v>700</v>
      </c>
      <c r="L16" s="379">
        <v>500</v>
      </c>
      <c r="M16" s="380">
        <v>800</v>
      </c>
      <c r="N16" s="381">
        <v>750</v>
      </c>
      <c r="O16" s="380">
        <v>1000</v>
      </c>
      <c r="R16" s="364"/>
      <c r="S16" s="398" t="s">
        <v>136</v>
      </c>
      <c r="T16" s="395">
        <f>I11</f>
        <v>270</v>
      </c>
      <c r="U16" s="364">
        <f>I12</f>
        <v>20</v>
      </c>
      <c r="V16" s="351">
        <f>T16/U16</f>
        <v>13.5</v>
      </c>
      <c r="W16" s="400">
        <f>T15/T16-1</f>
        <v>0.29629629629629628</v>
      </c>
      <c r="X16" s="401">
        <f>T16/T15-1</f>
        <v>-0.22857142857142854</v>
      </c>
    </row>
    <row r="17" spans="2:24" x14ac:dyDescent="0.2">
      <c r="B17" s="393"/>
      <c r="C17" s="366"/>
      <c r="D17" s="379"/>
      <c r="E17" s="379"/>
      <c r="F17" s="379"/>
      <c r="G17" s="380"/>
      <c r="H17" s="379"/>
      <c r="I17" s="379"/>
      <c r="J17" s="379"/>
      <c r="K17" s="379"/>
      <c r="L17" s="379"/>
      <c r="M17" s="380"/>
      <c r="N17" s="381"/>
      <c r="O17" s="380"/>
      <c r="S17" s="397"/>
      <c r="X17" s="401"/>
    </row>
    <row r="18" spans="2:24" x14ac:dyDescent="0.2">
      <c r="B18" s="393" t="s">
        <v>739</v>
      </c>
      <c r="C18" s="366"/>
      <c r="D18" s="379"/>
      <c r="E18" s="379"/>
      <c r="F18" s="379"/>
      <c r="G18" s="380"/>
      <c r="H18" s="379"/>
      <c r="I18" s="379"/>
      <c r="J18" s="379"/>
      <c r="K18" s="379"/>
      <c r="L18" s="379"/>
      <c r="M18" s="380"/>
      <c r="N18" s="381"/>
      <c r="O18" s="380"/>
      <c r="R18" s="399" t="s">
        <v>748</v>
      </c>
      <c r="S18" s="399"/>
      <c r="X18" s="401"/>
    </row>
    <row r="19" spans="2:24" x14ac:dyDescent="0.2">
      <c r="B19" s="394" t="s">
        <v>655</v>
      </c>
      <c r="C19" s="377"/>
      <c r="D19" s="382" t="s">
        <v>656</v>
      </c>
      <c r="E19" s="382" t="s">
        <v>657</v>
      </c>
      <c r="F19" s="382" t="s">
        <v>656</v>
      </c>
      <c r="G19" s="383" t="s">
        <v>657</v>
      </c>
      <c r="H19" s="382"/>
      <c r="I19" s="382"/>
      <c r="J19" s="382"/>
      <c r="K19" s="382"/>
      <c r="L19" s="382"/>
      <c r="M19" s="383"/>
      <c r="N19" s="384"/>
      <c r="O19" s="383"/>
      <c r="S19" s="397" t="s">
        <v>118</v>
      </c>
      <c r="T19" s="395">
        <f>G11</f>
        <v>500</v>
      </c>
      <c r="U19" s="351" t="s">
        <v>694</v>
      </c>
      <c r="X19" s="401"/>
    </row>
    <row r="20" spans="2:24" x14ac:dyDescent="0.2">
      <c r="S20" s="398" t="s">
        <v>136</v>
      </c>
      <c r="T20" s="395">
        <f>M11</f>
        <v>500</v>
      </c>
      <c r="U20" s="395">
        <f>M12</f>
        <v>50</v>
      </c>
      <c r="V20" s="351">
        <f>T20/U20</f>
        <v>10</v>
      </c>
      <c r="W20" s="400">
        <f>T19/T20-1</f>
        <v>0</v>
      </c>
      <c r="X20" s="401">
        <f>T20/T19-1</f>
        <v>0</v>
      </c>
    </row>
    <row r="21" spans="2:24" x14ac:dyDescent="0.2">
      <c r="B21" s="388" t="s">
        <v>743</v>
      </c>
      <c r="C21" s="368"/>
      <c r="D21" s="370"/>
      <c r="E21" s="370"/>
      <c r="F21" s="370"/>
      <c r="G21" s="370"/>
      <c r="H21" s="369"/>
      <c r="I21" s="370"/>
      <c r="J21" s="370"/>
      <c r="K21" s="370"/>
      <c r="L21" s="370"/>
      <c r="M21" s="370"/>
      <c r="N21" s="369"/>
      <c r="O21" s="378"/>
      <c r="S21" s="397" t="s">
        <v>133</v>
      </c>
      <c r="T21" s="395">
        <f>O11</f>
        <v>350</v>
      </c>
      <c r="U21" s="351" t="s">
        <v>653</v>
      </c>
      <c r="W21" s="400">
        <f>T19/T21-1</f>
        <v>0.4285714285714286</v>
      </c>
      <c r="X21" s="401">
        <f>T20/T21-1</f>
        <v>0.4285714285714286</v>
      </c>
    </row>
    <row r="22" spans="2:24" ht="24" x14ac:dyDescent="0.2">
      <c r="B22" s="389"/>
      <c r="C22" s="376"/>
      <c r="D22" s="371" t="s">
        <v>741</v>
      </c>
      <c r="E22" s="371" t="s">
        <v>741</v>
      </c>
      <c r="F22" s="371" t="s">
        <v>742</v>
      </c>
      <c r="G22" s="372" t="s">
        <v>742</v>
      </c>
      <c r="H22" s="371" t="s">
        <v>741</v>
      </c>
      <c r="I22" s="373"/>
      <c r="J22" s="373"/>
      <c r="K22" s="373"/>
      <c r="L22" s="373"/>
      <c r="M22" s="374"/>
      <c r="N22" s="375"/>
      <c r="O22" s="374"/>
    </row>
    <row r="23" spans="2:24" x14ac:dyDescent="0.2">
      <c r="B23" s="390" t="s">
        <v>664</v>
      </c>
      <c r="C23" s="366"/>
      <c r="D23" s="379" t="s">
        <v>665</v>
      </c>
      <c r="E23" s="379" t="s">
        <v>665</v>
      </c>
      <c r="F23" s="379" t="s">
        <v>665</v>
      </c>
      <c r="G23" s="380" t="s">
        <v>665</v>
      </c>
      <c r="H23" s="379" t="s">
        <v>665</v>
      </c>
      <c r="I23" s="379" t="s">
        <v>665</v>
      </c>
      <c r="J23" s="379" t="s">
        <v>665</v>
      </c>
      <c r="K23" s="379" t="s">
        <v>665</v>
      </c>
      <c r="L23" s="379" t="s">
        <v>665</v>
      </c>
      <c r="M23" s="380" t="s">
        <v>665</v>
      </c>
      <c r="N23" s="381" t="s">
        <v>665</v>
      </c>
      <c r="O23" s="380" t="s">
        <v>665</v>
      </c>
      <c r="V23" s="351" t="s">
        <v>789</v>
      </c>
      <c r="W23" s="407">
        <f>AVERAGE(W11,W16,W20)</f>
        <v>0.13209876543209878</v>
      </c>
    </row>
    <row r="24" spans="2:24" x14ac:dyDescent="0.2">
      <c r="B24" s="391" t="s">
        <v>648</v>
      </c>
      <c r="C24" s="366"/>
      <c r="D24" s="379" t="s">
        <v>661</v>
      </c>
      <c r="E24" s="379" t="s">
        <v>659</v>
      </c>
      <c r="F24" s="379" t="s">
        <v>661</v>
      </c>
      <c r="G24" s="380" t="s">
        <v>659</v>
      </c>
      <c r="H24" s="379" t="s">
        <v>687</v>
      </c>
      <c r="I24" s="379" t="s">
        <v>686</v>
      </c>
      <c r="J24" s="379" t="s">
        <v>688</v>
      </c>
      <c r="K24" s="379" t="s">
        <v>689</v>
      </c>
      <c r="L24" s="379" t="s">
        <v>684</v>
      </c>
      <c r="M24" s="380" t="s">
        <v>685</v>
      </c>
      <c r="N24" s="381" t="s">
        <v>712</v>
      </c>
      <c r="O24" s="380" t="s">
        <v>713</v>
      </c>
      <c r="V24" s="351" t="s">
        <v>790</v>
      </c>
      <c r="W24" s="407">
        <f>AVERAGE(W12,W17,W21)</f>
        <v>0.29323308270676696</v>
      </c>
    </row>
    <row r="25" spans="2:24" x14ac:dyDescent="0.2">
      <c r="B25" s="391" t="s">
        <v>787</v>
      </c>
      <c r="C25" s="366"/>
      <c r="D25" s="379">
        <v>220</v>
      </c>
      <c r="E25" s="379">
        <v>350</v>
      </c>
      <c r="F25" s="379">
        <v>300</v>
      </c>
      <c r="G25" s="380">
        <v>450</v>
      </c>
      <c r="H25" s="379">
        <v>270</v>
      </c>
      <c r="I25" s="379">
        <v>270</v>
      </c>
      <c r="J25" s="379">
        <v>330</v>
      </c>
      <c r="K25" s="379">
        <v>450</v>
      </c>
      <c r="L25" s="379">
        <v>320</v>
      </c>
      <c r="M25" s="380">
        <v>500</v>
      </c>
      <c r="N25" s="381">
        <v>190</v>
      </c>
      <c r="O25" s="380">
        <v>350</v>
      </c>
      <c r="W25" s="407">
        <f>AVERAGE(W11:W21)</f>
        <v>0.18528497168848049</v>
      </c>
    </row>
    <row r="26" spans="2:24" x14ac:dyDescent="0.2">
      <c r="B26" s="391" t="s">
        <v>647</v>
      </c>
      <c r="C26" s="366"/>
      <c r="D26" s="379" t="s">
        <v>653</v>
      </c>
      <c r="E26" s="379" t="s">
        <v>653</v>
      </c>
      <c r="F26" s="379">
        <v>40</v>
      </c>
      <c r="G26" s="380" t="s">
        <v>653</v>
      </c>
      <c r="H26" s="379" t="s">
        <v>653</v>
      </c>
      <c r="I26" s="379">
        <v>20</v>
      </c>
      <c r="J26" s="379">
        <v>30</v>
      </c>
      <c r="K26" s="379">
        <v>40</v>
      </c>
      <c r="L26" s="379">
        <v>30</v>
      </c>
      <c r="M26" s="380">
        <v>50</v>
      </c>
      <c r="N26" s="381">
        <v>25</v>
      </c>
      <c r="O26" s="380" t="s">
        <v>653</v>
      </c>
    </row>
    <row r="27" spans="2:24" x14ac:dyDescent="0.2">
      <c r="B27" s="391" t="s">
        <v>649</v>
      </c>
      <c r="C27" s="367"/>
      <c r="D27" s="385" t="s">
        <v>788</v>
      </c>
      <c r="E27" s="385" t="s">
        <v>788</v>
      </c>
      <c r="F27" s="385">
        <v>7.5</v>
      </c>
      <c r="G27" s="386" t="s">
        <v>788</v>
      </c>
      <c r="H27" s="385"/>
      <c r="I27" s="385">
        <v>13.5</v>
      </c>
      <c r="J27" s="385">
        <v>11</v>
      </c>
      <c r="K27" s="385">
        <v>11.25</v>
      </c>
      <c r="L27" s="385">
        <v>10.666666666666666</v>
      </c>
      <c r="M27" s="386">
        <v>10</v>
      </c>
      <c r="N27" s="387">
        <v>7.6</v>
      </c>
      <c r="O27" s="380"/>
    </row>
    <row r="28" spans="2:24" x14ac:dyDescent="0.2">
      <c r="B28" s="391"/>
      <c r="C28" s="367"/>
      <c r="D28" s="379"/>
      <c r="E28" s="379"/>
      <c r="F28" s="379"/>
      <c r="G28" s="380"/>
      <c r="H28" s="379"/>
      <c r="I28" s="379"/>
      <c r="J28" s="379"/>
      <c r="K28" s="379"/>
      <c r="L28" s="379"/>
      <c r="M28" s="380"/>
      <c r="N28" s="381"/>
      <c r="O28" s="380"/>
    </row>
    <row r="29" spans="2:24" x14ac:dyDescent="0.2">
      <c r="B29" s="392" t="s">
        <v>740</v>
      </c>
      <c r="C29" s="367"/>
      <c r="D29" s="379">
        <v>10</v>
      </c>
      <c r="E29" s="379">
        <v>15</v>
      </c>
      <c r="F29" s="588" t="s">
        <v>744</v>
      </c>
      <c r="G29" s="589"/>
      <c r="H29" s="379">
        <v>5</v>
      </c>
      <c r="I29" s="379">
        <v>5</v>
      </c>
      <c r="J29" s="379">
        <v>7</v>
      </c>
      <c r="K29" s="379">
        <v>10</v>
      </c>
      <c r="L29" s="379">
        <v>8</v>
      </c>
      <c r="M29" s="380">
        <v>13</v>
      </c>
      <c r="N29" s="381">
        <v>20</v>
      </c>
      <c r="O29" s="380">
        <v>25</v>
      </c>
    </row>
    <row r="30" spans="2:24" x14ac:dyDescent="0.2">
      <c r="B30" s="392" t="s">
        <v>716</v>
      </c>
      <c r="C30" s="367"/>
      <c r="D30" s="379">
        <v>300</v>
      </c>
      <c r="E30" s="379">
        <v>600</v>
      </c>
      <c r="F30" s="379">
        <v>300</v>
      </c>
      <c r="G30" s="380">
        <v>600</v>
      </c>
      <c r="H30" s="379">
        <v>800</v>
      </c>
      <c r="I30" s="379">
        <v>500</v>
      </c>
      <c r="J30" s="379">
        <v>600</v>
      </c>
      <c r="K30" s="379">
        <v>700</v>
      </c>
      <c r="L30" s="379">
        <v>500</v>
      </c>
      <c r="M30" s="380">
        <v>800</v>
      </c>
      <c r="N30" s="381">
        <v>750</v>
      </c>
      <c r="O30" s="380">
        <v>1000</v>
      </c>
    </row>
    <row r="31" spans="2:24" x14ac:dyDescent="0.2">
      <c r="B31" s="393"/>
      <c r="C31" s="366"/>
      <c r="D31" s="379"/>
      <c r="E31" s="379"/>
      <c r="F31" s="379"/>
      <c r="G31" s="380"/>
      <c r="H31" s="379"/>
      <c r="I31" s="379"/>
      <c r="J31" s="379"/>
      <c r="K31" s="379"/>
      <c r="L31" s="379"/>
      <c r="M31" s="380"/>
      <c r="N31" s="381"/>
      <c r="O31" s="380"/>
    </row>
    <row r="32" spans="2:24" x14ac:dyDescent="0.2">
      <c r="B32" s="393" t="s">
        <v>739</v>
      </c>
      <c r="C32" s="366"/>
      <c r="D32" s="379"/>
      <c r="E32" s="379"/>
      <c r="F32" s="379"/>
      <c r="G32" s="380"/>
      <c r="H32" s="379"/>
      <c r="I32" s="379"/>
      <c r="J32" s="379"/>
      <c r="K32" s="379"/>
      <c r="L32" s="379"/>
      <c r="M32" s="380"/>
      <c r="N32" s="381"/>
      <c r="O32" s="380"/>
    </row>
    <row r="33" spans="1:23" x14ac:dyDescent="0.2">
      <c r="B33" s="394" t="s">
        <v>655</v>
      </c>
      <c r="C33" s="377"/>
      <c r="D33" s="382" t="s">
        <v>656</v>
      </c>
      <c r="E33" s="382" t="s">
        <v>656</v>
      </c>
      <c r="F33" s="382" t="s">
        <v>656</v>
      </c>
      <c r="G33" s="383" t="s">
        <v>657</v>
      </c>
      <c r="H33" s="382"/>
      <c r="I33" s="382"/>
      <c r="J33" s="382"/>
      <c r="K33" s="382"/>
      <c r="L33" s="382"/>
      <c r="M33" s="383"/>
      <c r="N33" s="384"/>
      <c r="O33" s="383"/>
    </row>
    <row r="44" spans="1:23" x14ac:dyDescent="0.2">
      <c r="A44" s="351" t="s">
        <v>676</v>
      </c>
      <c r="B44" s="348" t="s">
        <v>317</v>
      </c>
    </row>
    <row r="46" spans="1:23" x14ac:dyDescent="0.2">
      <c r="A46" s="351" t="s">
        <v>22</v>
      </c>
      <c r="B46" s="353" t="s">
        <v>650</v>
      </c>
      <c r="C46" s="354"/>
      <c r="D46" s="356" t="s">
        <v>118</v>
      </c>
      <c r="E46" s="355"/>
      <c r="F46" s="355"/>
      <c r="G46" s="356"/>
      <c r="H46" s="356"/>
      <c r="I46" s="356"/>
      <c r="J46" s="356"/>
      <c r="K46" s="356"/>
      <c r="L46" s="356"/>
      <c r="M46" s="356" t="s">
        <v>136</v>
      </c>
      <c r="N46" s="356"/>
      <c r="O46" s="356"/>
      <c r="P46" s="356"/>
      <c r="Q46" s="356"/>
      <c r="R46" s="356"/>
      <c r="S46" s="355"/>
      <c r="T46" s="355"/>
      <c r="U46" s="355"/>
      <c r="V46" s="356" t="s">
        <v>133</v>
      </c>
      <c r="W46" s="356" t="s">
        <v>133</v>
      </c>
    </row>
    <row r="47" spans="1:23" x14ac:dyDescent="0.2">
      <c r="B47" s="361"/>
      <c r="D47" s="359" t="s">
        <v>658</v>
      </c>
      <c r="E47" s="359" t="s">
        <v>671</v>
      </c>
      <c r="F47" s="359" t="s">
        <v>671</v>
      </c>
      <c r="G47" s="359" t="s">
        <v>670</v>
      </c>
      <c r="H47" s="359" t="s">
        <v>670</v>
      </c>
      <c r="I47" s="359" t="s">
        <v>671</v>
      </c>
      <c r="J47" s="359" t="s">
        <v>671</v>
      </c>
      <c r="K47" s="359" t="s">
        <v>670</v>
      </c>
      <c r="L47" s="359" t="s">
        <v>670</v>
      </c>
      <c r="M47" s="359" t="s">
        <v>690</v>
      </c>
      <c r="N47" s="359"/>
      <c r="O47" s="359"/>
      <c r="P47" s="359"/>
      <c r="Q47" s="359"/>
    </row>
    <row r="48" spans="1:23" s="357" customFormat="1" x14ac:dyDescent="0.2">
      <c r="A48" s="358"/>
      <c r="B48" s="357" t="s">
        <v>664</v>
      </c>
      <c r="D48" s="358" t="s">
        <v>665</v>
      </c>
      <c r="E48" s="358" t="s">
        <v>665</v>
      </c>
      <c r="F48" s="358" t="s">
        <v>665</v>
      </c>
      <c r="G48" s="358" t="s">
        <v>665</v>
      </c>
      <c r="H48" s="358" t="s">
        <v>665</v>
      </c>
      <c r="I48" s="358" t="s">
        <v>666</v>
      </c>
      <c r="J48" s="358" t="s">
        <v>666</v>
      </c>
      <c r="K48" s="358" t="s">
        <v>666</v>
      </c>
      <c r="L48" s="358" t="s">
        <v>666</v>
      </c>
      <c r="M48" s="358" t="s">
        <v>665</v>
      </c>
      <c r="N48" s="358" t="s">
        <v>665</v>
      </c>
      <c r="O48" s="358" t="s">
        <v>665</v>
      </c>
      <c r="P48" s="358" t="s">
        <v>665</v>
      </c>
      <c r="Q48" s="358" t="s">
        <v>665</v>
      </c>
      <c r="R48" s="358" t="s">
        <v>665</v>
      </c>
      <c r="S48" s="358" t="s">
        <v>666</v>
      </c>
      <c r="T48" s="358" t="s">
        <v>666</v>
      </c>
      <c r="U48" s="358" t="s">
        <v>666</v>
      </c>
      <c r="V48" s="358"/>
      <c r="W48" s="358"/>
    </row>
    <row r="49" spans="2:23" x14ac:dyDescent="0.2">
      <c r="B49" s="352" t="s">
        <v>648</v>
      </c>
      <c r="D49" s="351" t="s">
        <v>660</v>
      </c>
      <c r="E49" s="351" t="s">
        <v>661</v>
      </c>
      <c r="F49" s="351" t="s">
        <v>659</v>
      </c>
      <c r="G49" s="351" t="s">
        <v>661</v>
      </c>
      <c r="H49" s="351" t="s">
        <v>659</v>
      </c>
      <c r="I49" s="351" t="s">
        <v>662</v>
      </c>
      <c r="J49" s="351" t="s">
        <v>659</v>
      </c>
      <c r="K49" s="351" t="s">
        <v>662</v>
      </c>
      <c r="L49" s="351" t="s">
        <v>659</v>
      </c>
      <c r="M49" s="351" t="s">
        <v>687</v>
      </c>
      <c r="N49" s="351" t="s">
        <v>686</v>
      </c>
      <c r="O49" s="351" t="s">
        <v>688</v>
      </c>
      <c r="P49" s="351" t="s">
        <v>689</v>
      </c>
      <c r="Q49" s="351" t="s">
        <v>684</v>
      </c>
      <c r="R49" s="351" t="s">
        <v>685</v>
      </c>
      <c r="S49" s="351" t="s">
        <v>691</v>
      </c>
      <c r="T49" s="351" t="s">
        <v>692</v>
      </c>
      <c r="U49" s="351" t="s">
        <v>693</v>
      </c>
      <c r="V49" s="351" t="s">
        <v>712</v>
      </c>
      <c r="W49" s="351" t="s">
        <v>713</v>
      </c>
    </row>
    <row r="50" spans="2:23" x14ac:dyDescent="0.2">
      <c r="B50" s="357" t="s">
        <v>646</v>
      </c>
      <c r="D50" s="351">
        <v>220</v>
      </c>
      <c r="E50" s="351">
        <v>220</v>
      </c>
      <c r="F50" s="351">
        <v>350</v>
      </c>
      <c r="G50" s="351">
        <v>300</v>
      </c>
      <c r="H50" s="351">
        <v>450</v>
      </c>
      <c r="I50" s="351">
        <v>220</v>
      </c>
      <c r="J50" s="351">
        <v>350</v>
      </c>
      <c r="K50" s="351">
        <v>350</v>
      </c>
      <c r="L50" s="351">
        <v>500</v>
      </c>
      <c r="M50" s="351">
        <v>270</v>
      </c>
      <c r="N50" s="351">
        <v>270</v>
      </c>
      <c r="O50" s="351">
        <v>330</v>
      </c>
      <c r="P50" s="351">
        <v>450</v>
      </c>
      <c r="Q50" s="351">
        <v>320</v>
      </c>
      <c r="R50" s="351">
        <v>500</v>
      </c>
      <c r="S50" s="351">
        <v>240</v>
      </c>
      <c r="T50" s="351">
        <v>330</v>
      </c>
      <c r="U50" s="351">
        <v>400</v>
      </c>
      <c r="V50" s="351">
        <v>190</v>
      </c>
      <c r="W50" s="351">
        <v>350</v>
      </c>
    </row>
    <row r="51" spans="2:23" x14ac:dyDescent="0.2">
      <c r="B51" s="357" t="s">
        <v>647</v>
      </c>
      <c r="D51" s="351">
        <v>10</v>
      </c>
      <c r="E51" s="351" t="s">
        <v>653</v>
      </c>
      <c r="F51" s="351" t="s">
        <v>653</v>
      </c>
      <c r="G51" s="351">
        <v>40</v>
      </c>
      <c r="H51" s="351" t="s">
        <v>653</v>
      </c>
      <c r="I51" s="351" t="s">
        <v>653</v>
      </c>
      <c r="J51" s="351" t="s">
        <v>653</v>
      </c>
      <c r="K51" s="351">
        <v>20</v>
      </c>
      <c r="L51" s="351" t="s">
        <v>694</v>
      </c>
      <c r="M51" s="351" t="s">
        <v>653</v>
      </c>
      <c r="N51" s="351">
        <v>20</v>
      </c>
      <c r="O51" s="351">
        <v>30</v>
      </c>
      <c r="P51" s="351">
        <v>40</v>
      </c>
      <c r="Q51" s="351">
        <v>30</v>
      </c>
      <c r="R51" s="351">
        <v>50</v>
      </c>
      <c r="S51" s="351">
        <v>20</v>
      </c>
      <c r="T51" s="351">
        <v>50</v>
      </c>
      <c r="U51" s="351" t="s">
        <v>653</v>
      </c>
      <c r="V51" s="351">
        <v>25</v>
      </c>
      <c r="W51" s="351" t="s">
        <v>653</v>
      </c>
    </row>
    <row r="52" spans="2:23" x14ac:dyDescent="0.2">
      <c r="B52" s="357" t="s">
        <v>649</v>
      </c>
      <c r="D52" s="351">
        <f>IFERROR(D50/D51,"")</f>
        <v>22</v>
      </c>
      <c r="E52" s="351" t="str">
        <f>IFERROR(E50/E51,"")</f>
        <v/>
      </c>
      <c r="F52" s="351" t="str">
        <f>IFERROR(F50/F51,"")</f>
        <v/>
      </c>
      <c r="G52" s="351">
        <f>IFERROR(G50/G51,"")</f>
        <v>7.5</v>
      </c>
      <c r="H52" s="351" t="str">
        <f>IFERROR(H50/H51,"")</f>
        <v/>
      </c>
      <c r="L52" s="351" t="str">
        <f>IFERROR(L50/L51,"")</f>
        <v/>
      </c>
      <c r="N52" s="351">
        <f t="shared" ref="N52:T52" si="1">IFERROR(N50/N51,"")</f>
        <v>13.5</v>
      </c>
      <c r="O52" s="351">
        <f t="shared" si="1"/>
        <v>11</v>
      </c>
      <c r="P52" s="351">
        <f t="shared" si="1"/>
        <v>11.25</v>
      </c>
      <c r="Q52" s="351">
        <f t="shared" si="1"/>
        <v>10.666666666666666</v>
      </c>
      <c r="R52" s="351">
        <f t="shared" si="1"/>
        <v>10</v>
      </c>
      <c r="S52" s="351">
        <f t="shared" si="1"/>
        <v>12</v>
      </c>
      <c r="T52" s="351">
        <f t="shared" si="1"/>
        <v>6.6</v>
      </c>
      <c r="V52" s="351">
        <f>IFERROR(V50/V51,"")</f>
        <v>7.6</v>
      </c>
    </row>
    <row r="54" spans="2:23" x14ac:dyDescent="0.2">
      <c r="B54" s="348" t="s">
        <v>654</v>
      </c>
    </row>
    <row r="55" spans="2:23" x14ac:dyDescent="0.2">
      <c r="B55" s="352" t="s">
        <v>655</v>
      </c>
      <c r="D55" s="351" t="s">
        <v>656</v>
      </c>
      <c r="E55" s="351" t="s">
        <v>656</v>
      </c>
      <c r="F55" s="351" t="s">
        <v>656</v>
      </c>
      <c r="G55" s="351" t="s">
        <v>656</v>
      </c>
      <c r="H55" s="351" t="s">
        <v>657</v>
      </c>
      <c r="I55" s="351" t="s">
        <v>656</v>
      </c>
      <c r="J55" s="351" t="s">
        <v>657</v>
      </c>
      <c r="K55" s="351" t="s">
        <v>656</v>
      </c>
      <c r="L55" s="351" t="s">
        <v>657</v>
      </c>
    </row>
    <row r="57" spans="2:23" ht="63.75" x14ac:dyDescent="0.2">
      <c r="I57" s="360" t="s">
        <v>669</v>
      </c>
      <c r="J57" s="360" t="s">
        <v>669</v>
      </c>
      <c r="K57" s="360" t="s">
        <v>668</v>
      </c>
      <c r="L57" s="360" t="s">
        <v>668</v>
      </c>
      <c r="M57" s="360"/>
    </row>
    <row r="60" spans="2:23" x14ac:dyDescent="0.2">
      <c r="D60" s="351" t="s">
        <v>22</v>
      </c>
      <c r="E60" s="351" t="s">
        <v>672</v>
      </c>
      <c r="F60" s="351" t="s">
        <v>672</v>
      </c>
      <c r="G60" s="348" t="s">
        <v>663</v>
      </c>
      <c r="I60" s="351" t="s">
        <v>667</v>
      </c>
      <c r="J60" s="351" t="s">
        <v>667</v>
      </c>
      <c r="K60" s="351" t="s">
        <v>667</v>
      </c>
      <c r="L60" s="351" t="s">
        <v>667</v>
      </c>
    </row>
    <row r="64" spans="2:23" x14ac:dyDescent="0.2">
      <c r="B64" s="352" t="s">
        <v>651</v>
      </c>
      <c r="C64" s="352">
        <v>0</v>
      </c>
      <c r="D64" s="351" t="s">
        <v>658</v>
      </c>
    </row>
    <row r="68" spans="1:14" x14ac:dyDescent="0.2">
      <c r="B68" s="352" t="s">
        <v>673</v>
      </c>
    </row>
    <row r="69" spans="1:14" x14ac:dyDescent="0.2">
      <c r="B69" s="352" t="s">
        <v>674</v>
      </c>
    </row>
    <row r="70" spans="1:14" x14ac:dyDescent="0.2">
      <c r="B70" s="352" t="s">
        <v>715</v>
      </c>
    </row>
    <row r="71" spans="1:14" x14ac:dyDescent="0.2">
      <c r="B71" s="352" t="s">
        <v>714</v>
      </c>
    </row>
    <row r="75" spans="1:14" x14ac:dyDescent="0.2">
      <c r="A75" s="351" t="s">
        <v>22</v>
      </c>
      <c r="B75" s="348" t="s">
        <v>677</v>
      </c>
    </row>
    <row r="78" spans="1:14" x14ac:dyDescent="0.2">
      <c r="B78" s="354" t="s">
        <v>650</v>
      </c>
      <c r="C78" s="354"/>
      <c r="D78" s="356" t="s">
        <v>118</v>
      </c>
      <c r="E78" s="355"/>
      <c r="F78" s="356" t="s">
        <v>136</v>
      </c>
      <c r="G78" s="355"/>
      <c r="H78" s="355"/>
      <c r="L78" s="355"/>
      <c r="M78" s="355"/>
      <c r="N78" s="359" t="s">
        <v>728</v>
      </c>
    </row>
    <row r="79" spans="1:14" x14ac:dyDescent="0.2">
      <c r="B79" s="352" t="s">
        <v>648</v>
      </c>
      <c r="D79" s="352" t="s">
        <v>681</v>
      </c>
      <c r="E79" s="351" t="s">
        <v>682</v>
      </c>
      <c r="F79" s="351" t="s">
        <v>695</v>
      </c>
      <c r="G79" s="351" t="s">
        <v>696</v>
      </c>
      <c r="H79" s="351" t="s">
        <v>697</v>
      </c>
    </row>
    <row r="80" spans="1:14" ht="76.5" x14ac:dyDescent="0.2">
      <c r="B80" s="352" t="s">
        <v>646</v>
      </c>
      <c r="D80" s="362" t="s">
        <v>679</v>
      </c>
      <c r="E80" s="362" t="s">
        <v>680</v>
      </c>
      <c r="F80" s="362" t="s">
        <v>698</v>
      </c>
      <c r="G80" s="362" t="s">
        <v>699</v>
      </c>
      <c r="H80" s="362" t="s">
        <v>700</v>
      </c>
    </row>
    <row r="81" spans="2:8" x14ac:dyDescent="0.2">
      <c r="B81" s="352" t="s">
        <v>678</v>
      </c>
      <c r="D81" s="352" t="s">
        <v>656</v>
      </c>
      <c r="E81" s="351" t="s">
        <v>657</v>
      </c>
      <c r="F81" s="351" t="s">
        <v>657</v>
      </c>
      <c r="G81" s="351" t="s">
        <v>657</v>
      </c>
      <c r="H81" s="351" t="s">
        <v>657</v>
      </c>
    </row>
    <row r="82" spans="2:8" x14ac:dyDescent="0.2">
      <c r="B82" s="352" t="s">
        <v>701</v>
      </c>
      <c r="F82" s="351" t="s">
        <v>702</v>
      </c>
      <c r="G82" s="351" t="s">
        <v>703</v>
      </c>
      <c r="H82" s="351" t="s">
        <v>704</v>
      </c>
    </row>
    <row r="84" spans="2:8" x14ac:dyDescent="0.2">
      <c r="B84" s="352" t="s">
        <v>720</v>
      </c>
      <c r="D84" s="362"/>
      <c r="E84" s="362"/>
      <c r="F84" s="362"/>
      <c r="G84" s="362"/>
      <c r="H84" s="362"/>
    </row>
    <row r="88" spans="2:8" x14ac:dyDescent="0.2">
      <c r="B88" s="357" t="s">
        <v>706</v>
      </c>
      <c r="D88" s="351">
        <f>D95/12</f>
        <v>150</v>
      </c>
      <c r="E88" s="351">
        <f t="shared" ref="E88" si="2">E95/12</f>
        <v>275</v>
      </c>
      <c r="F88" s="351">
        <f>F95/12</f>
        <v>187.5</v>
      </c>
      <c r="G88" s="351">
        <f>G95/12</f>
        <v>225</v>
      </c>
      <c r="H88" s="351">
        <f>H95/12</f>
        <v>243.75</v>
      </c>
    </row>
    <row r="89" spans="2:8" x14ac:dyDescent="0.2">
      <c r="B89" s="357"/>
    </row>
    <row r="90" spans="2:8" x14ac:dyDescent="0.2">
      <c r="B90" s="357" t="s">
        <v>709</v>
      </c>
      <c r="D90" s="351">
        <v>100</v>
      </c>
      <c r="E90" s="351">
        <v>200</v>
      </c>
      <c r="F90" s="351">
        <v>0</v>
      </c>
      <c r="G90" s="351">
        <v>0</v>
      </c>
      <c r="H90" s="351">
        <v>0</v>
      </c>
    </row>
    <row r="91" spans="2:8" x14ac:dyDescent="0.2">
      <c r="B91" s="357" t="s">
        <v>710</v>
      </c>
      <c r="D91" s="351">
        <v>6</v>
      </c>
      <c r="E91" s="351">
        <v>6</v>
      </c>
      <c r="F91" s="351">
        <v>3</v>
      </c>
      <c r="G91" s="351">
        <v>3</v>
      </c>
      <c r="H91" s="351">
        <v>3</v>
      </c>
    </row>
    <row r="92" spans="2:8" x14ac:dyDescent="0.2">
      <c r="B92" s="357" t="s">
        <v>707</v>
      </c>
      <c r="D92" s="351">
        <v>200</v>
      </c>
      <c r="E92" s="351">
        <v>350</v>
      </c>
      <c r="F92" s="351">
        <v>250</v>
      </c>
      <c r="G92" s="351">
        <v>300</v>
      </c>
      <c r="H92" s="351">
        <v>325</v>
      </c>
    </row>
    <row r="93" spans="2:8" x14ac:dyDescent="0.2">
      <c r="B93" s="357" t="s">
        <v>708</v>
      </c>
      <c r="D93" s="351">
        <f>12-D91</f>
        <v>6</v>
      </c>
      <c r="E93" s="351">
        <f>12-E91</f>
        <v>6</v>
      </c>
      <c r="F93" s="351">
        <f>12-F91</f>
        <v>9</v>
      </c>
      <c r="G93" s="351">
        <f t="shared" ref="G93:H93" si="3">12-G91</f>
        <v>9</v>
      </c>
      <c r="H93" s="351">
        <f t="shared" si="3"/>
        <v>9</v>
      </c>
    </row>
    <row r="94" spans="2:8" x14ac:dyDescent="0.2">
      <c r="B94" s="357"/>
    </row>
    <row r="95" spans="2:8" x14ac:dyDescent="0.2">
      <c r="B95" s="357" t="s">
        <v>705</v>
      </c>
      <c r="D95" s="351">
        <f>((D90*D91)+(D92*D93))</f>
        <v>1800</v>
      </c>
      <c r="E95" s="351">
        <f t="shared" ref="E95" si="4">((E90*E91)+(E92*E93))</f>
        <v>3300</v>
      </c>
      <c r="F95" s="351">
        <f>((F90*F91)+(F92*F93))</f>
        <v>2250</v>
      </c>
      <c r="G95" s="351">
        <f>((G90*G91)+(G92*G93))</f>
        <v>2700</v>
      </c>
      <c r="H95" s="351">
        <f>((H90*H91)+(H92*H93))</f>
        <v>2925</v>
      </c>
    </row>
    <row r="96" spans="2:8" x14ac:dyDescent="0.2">
      <c r="B96" s="348"/>
    </row>
    <row r="97" spans="1:16" x14ac:dyDescent="0.2">
      <c r="B97" s="348"/>
    </row>
    <row r="98" spans="1:16" x14ac:dyDescent="0.2">
      <c r="B98" s="348"/>
    </row>
    <row r="103" spans="1:16" x14ac:dyDescent="0.2">
      <c r="A103" s="351" t="s">
        <v>22</v>
      </c>
      <c r="B103" s="363" t="s">
        <v>729</v>
      </c>
      <c r="C103" s="354"/>
      <c r="D103" s="355"/>
      <c r="E103" s="355"/>
      <c r="F103" s="355" t="s">
        <v>118</v>
      </c>
      <c r="G103" s="355" t="s">
        <v>118</v>
      </c>
      <c r="H103" s="355" t="s">
        <v>118</v>
      </c>
      <c r="I103" s="355" t="s">
        <v>730</v>
      </c>
      <c r="J103" s="355" t="s">
        <v>730</v>
      </c>
      <c r="K103" s="355" t="s">
        <v>133</v>
      </c>
      <c r="L103" s="355" t="s">
        <v>133</v>
      </c>
      <c r="M103" s="355"/>
      <c r="N103" s="355"/>
      <c r="O103" s="355"/>
      <c r="P103" s="355"/>
    </row>
    <row r="105" spans="1:16" x14ac:dyDescent="0.2">
      <c r="B105" s="352" t="s">
        <v>648</v>
      </c>
      <c r="F105" s="351" t="s">
        <v>717</v>
      </c>
      <c r="G105" s="351" t="s">
        <v>718</v>
      </c>
      <c r="H105" s="351" t="s">
        <v>719</v>
      </c>
      <c r="I105" s="351" t="s">
        <v>721</v>
      </c>
      <c r="J105" s="351" t="s">
        <v>722</v>
      </c>
      <c r="K105" s="351" t="s">
        <v>731</v>
      </c>
      <c r="L105" s="351" t="s">
        <v>732</v>
      </c>
      <c r="M105" s="351" t="s">
        <v>733</v>
      </c>
      <c r="N105" s="351" t="s">
        <v>734</v>
      </c>
    </row>
    <row r="106" spans="1:16" ht="76.5" x14ac:dyDescent="0.2">
      <c r="B106" s="352" t="s">
        <v>646</v>
      </c>
      <c r="F106" s="362" t="s">
        <v>723</v>
      </c>
      <c r="G106" s="362" t="s">
        <v>724</v>
      </c>
      <c r="H106" s="362" t="s">
        <v>725</v>
      </c>
      <c r="I106" s="362" t="s">
        <v>726</v>
      </c>
      <c r="J106" s="362" t="s">
        <v>727</v>
      </c>
    </row>
    <row r="107" spans="1:16" x14ac:dyDescent="0.2">
      <c r="B107" s="352" t="s">
        <v>678</v>
      </c>
      <c r="F107" s="352" t="s">
        <v>656</v>
      </c>
      <c r="G107" s="352" t="s">
        <v>656</v>
      </c>
      <c r="H107" s="351" t="s">
        <v>657</v>
      </c>
      <c r="I107" s="351" t="s">
        <v>657</v>
      </c>
      <c r="J107" s="351" t="s">
        <v>657</v>
      </c>
    </row>
    <row r="109" spans="1:16" ht="25.5" x14ac:dyDescent="0.2">
      <c r="B109" s="352" t="s">
        <v>735</v>
      </c>
      <c r="F109" s="360">
        <v>20</v>
      </c>
      <c r="G109" s="360">
        <v>40</v>
      </c>
      <c r="H109" s="360" t="s">
        <v>653</v>
      </c>
      <c r="I109" s="360" t="s">
        <v>653</v>
      </c>
      <c r="J109" s="360" t="s">
        <v>653</v>
      </c>
      <c r="K109" s="351">
        <v>10</v>
      </c>
      <c r="L109" s="351">
        <v>25</v>
      </c>
      <c r="M109" s="351">
        <v>40</v>
      </c>
      <c r="N109" s="351" t="s">
        <v>653</v>
      </c>
    </row>
    <row r="110" spans="1:16" x14ac:dyDescent="0.2">
      <c r="B110" s="352" t="s">
        <v>701</v>
      </c>
      <c r="K110" s="351" t="s">
        <v>737</v>
      </c>
      <c r="L110" s="351" t="s">
        <v>736</v>
      </c>
      <c r="M110" s="351" t="s">
        <v>736</v>
      </c>
      <c r="N110" s="351" t="s">
        <v>736</v>
      </c>
    </row>
    <row r="113" spans="2:14" x14ac:dyDescent="0.2">
      <c r="B113" s="357" t="s">
        <v>706</v>
      </c>
      <c r="F113" s="395">
        <f>F120/12</f>
        <v>237.5</v>
      </c>
      <c r="G113" s="395">
        <f>G120/12</f>
        <v>312.5</v>
      </c>
      <c r="H113" s="395">
        <f>H120/12</f>
        <v>425</v>
      </c>
      <c r="I113" s="395">
        <f t="shared" ref="I113:J113" si="5">I120/12</f>
        <v>325</v>
      </c>
      <c r="J113" s="395">
        <f t="shared" si="5"/>
        <v>400</v>
      </c>
      <c r="K113" s="395">
        <f t="shared" ref="K113:N113" si="6">K120/12</f>
        <v>100</v>
      </c>
      <c r="L113" s="395">
        <f t="shared" si="6"/>
        <v>175</v>
      </c>
      <c r="M113" s="395">
        <f t="shared" si="6"/>
        <v>300</v>
      </c>
      <c r="N113" s="395">
        <f t="shared" si="6"/>
        <v>500</v>
      </c>
    </row>
    <row r="114" spans="2:14" x14ac:dyDescent="0.2">
      <c r="B114" s="357"/>
      <c r="F114" s="395"/>
      <c r="G114" s="395"/>
      <c r="H114" s="395"/>
      <c r="I114" s="395"/>
      <c r="J114" s="395"/>
      <c r="K114" s="395"/>
      <c r="L114" s="395"/>
      <c r="M114" s="395"/>
      <c r="N114" s="395"/>
    </row>
    <row r="115" spans="2:14" x14ac:dyDescent="0.2">
      <c r="B115" s="357" t="s">
        <v>709</v>
      </c>
      <c r="F115" s="395">
        <v>200</v>
      </c>
      <c r="G115" s="395">
        <v>200</v>
      </c>
      <c r="H115" s="395">
        <v>200</v>
      </c>
      <c r="I115" s="395">
        <v>250</v>
      </c>
      <c r="J115" s="395">
        <v>250</v>
      </c>
      <c r="K115" s="395">
        <v>0</v>
      </c>
      <c r="L115" s="395">
        <v>0</v>
      </c>
      <c r="M115" s="395">
        <v>0</v>
      </c>
      <c r="N115" s="395">
        <v>0</v>
      </c>
    </row>
    <row r="116" spans="2:14" x14ac:dyDescent="0.2">
      <c r="B116" s="357" t="s">
        <v>710</v>
      </c>
      <c r="F116" s="395">
        <v>3</v>
      </c>
      <c r="G116" s="395">
        <v>3</v>
      </c>
      <c r="H116" s="395">
        <v>3</v>
      </c>
      <c r="I116" s="395">
        <v>3</v>
      </c>
      <c r="J116" s="395">
        <v>3</v>
      </c>
      <c r="K116" s="395">
        <v>0</v>
      </c>
      <c r="L116" s="395">
        <v>0</v>
      </c>
      <c r="M116" s="395">
        <v>0</v>
      </c>
      <c r="N116" s="395">
        <v>0</v>
      </c>
    </row>
    <row r="117" spans="2:14" x14ac:dyDescent="0.2">
      <c r="B117" s="357" t="s">
        <v>707</v>
      </c>
      <c r="F117" s="395">
        <v>250</v>
      </c>
      <c r="G117" s="395">
        <v>350</v>
      </c>
      <c r="H117" s="395">
        <v>500</v>
      </c>
      <c r="I117" s="395">
        <v>350</v>
      </c>
      <c r="J117" s="395">
        <v>450</v>
      </c>
      <c r="K117" s="395">
        <v>100</v>
      </c>
      <c r="L117" s="395">
        <v>175</v>
      </c>
      <c r="M117" s="395">
        <v>300</v>
      </c>
      <c r="N117" s="395">
        <v>500</v>
      </c>
    </row>
    <row r="118" spans="2:14" x14ac:dyDescent="0.2">
      <c r="B118" s="357" t="s">
        <v>708</v>
      </c>
      <c r="F118" s="395">
        <f>12-F116</f>
        <v>9</v>
      </c>
      <c r="G118" s="395">
        <f>12-G116</f>
        <v>9</v>
      </c>
      <c r="H118" s="395">
        <f>12-H116</f>
        <v>9</v>
      </c>
      <c r="I118" s="395">
        <f t="shared" ref="I118:J118" si="7">12-I116</f>
        <v>9</v>
      </c>
      <c r="J118" s="395">
        <f t="shared" si="7"/>
        <v>9</v>
      </c>
      <c r="K118" s="395">
        <f t="shared" ref="K118:N118" si="8">12-K116</f>
        <v>12</v>
      </c>
      <c r="L118" s="395">
        <f t="shared" si="8"/>
        <v>12</v>
      </c>
      <c r="M118" s="395">
        <f t="shared" si="8"/>
        <v>12</v>
      </c>
      <c r="N118" s="395">
        <f t="shared" si="8"/>
        <v>12</v>
      </c>
    </row>
    <row r="119" spans="2:14" x14ac:dyDescent="0.2">
      <c r="B119" s="357"/>
      <c r="F119" s="395"/>
      <c r="G119" s="395"/>
      <c r="H119" s="395"/>
      <c r="I119" s="395"/>
      <c r="J119" s="395"/>
      <c r="K119" s="395"/>
      <c r="L119" s="395"/>
      <c r="M119" s="395"/>
      <c r="N119" s="395"/>
    </row>
    <row r="120" spans="2:14" x14ac:dyDescent="0.2">
      <c r="B120" s="357" t="s">
        <v>705</v>
      </c>
      <c r="F120" s="395">
        <f>((F115*F116)+(F117*F118))</f>
        <v>2850</v>
      </c>
      <c r="G120" s="395">
        <f>((G115*G116)+(G117*G118))</f>
        <v>3750</v>
      </c>
      <c r="H120" s="395">
        <f>((H115*H116)+(H117*H118))</f>
        <v>5100</v>
      </c>
      <c r="I120" s="395">
        <f t="shared" ref="I120:J120" si="9">((I115*I116)+(I117*I118))</f>
        <v>3900</v>
      </c>
      <c r="J120" s="395">
        <f t="shared" si="9"/>
        <v>4800</v>
      </c>
      <c r="K120" s="395">
        <f t="shared" ref="K120:N120" si="10">((K115*K116)+(K117*K118))</f>
        <v>1200</v>
      </c>
      <c r="L120" s="395">
        <f t="shared" si="10"/>
        <v>2100</v>
      </c>
      <c r="M120" s="395">
        <f t="shared" si="10"/>
        <v>3600</v>
      </c>
      <c r="N120" s="395">
        <f t="shared" si="10"/>
        <v>6000</v>
      </c>
    </row>
    <row r="125" spans="2:14" x14ac:dyDescent="0.2">
      <c r="B125" s="352" t="s">
        <v>287</v>
      </c>
    </row>
    <row r="126" spans="2:14" x14ac:dyDescent="0.2">
      <c r="B126" s="352" t="s">
        <v>683</v>
      </c>
    </row>
    <row r="127" spans="2:14" x14ac:dyDescent="0.2">
      <c r="B127" s="352" t="s">
        <v>738</v>
      </c>
    </row>
  </sheetData>
  <mergeCells count="1">
    <mergeCell ref="F29:G29"/>
  </mergeCell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64875-78F1-4C06-8E41-016EADEEB935}">
  <dimension ref="B2:K44"/>
  <sheetViews>
    <sheetView topLeftCell="A13" workbookViewId="0">
      <selection activeCell="F40" sqref="F40"/>
    </sheetView>
  </sheetViews>
  <sheetFormatPr defaultRowHeight="12.75" x14ac:dyDescent="0.2"/>
  <cols>
    <col min="2" max="2" width="9.85546875" bestFit="1" customWidth="1"/>
    <col min="8" max="8" width="14.140625" bestFit="1" customWidth="1"/>
    <col min="9" max="9" width="12.5703125" bestFit="1" customWidth="1"/>
  </cols>
  <sheetData>
    <row r="2" spans="2:11" x14ac:dyDescent="0.2">
      <c r="B2" s="317" t="s">
        <v>1054</v>
      </c>
    </row>
    <row r="3" spans="2:11" x14ac:dyDescent="0.2">
      <c r="B3" t="s">
        <v>1055</v>
      </c>
    </row>
    <row r="5" spans="2:11" x14ac:dyDescent="0.2">
      <c r="C5" s="317">
        <v>2021</v>
      </c>
      <c r="D5" s="317">
        <f>C5+1</f>
        <v>2022</v>
      </c>
      <c r="E5" s="317">
        <f t="shared" ref="E5:F5" si="0">D5+1</f>
        <v>2023</v>
      </c>
      <c r="F5" s="317">
        <f t="shared" si="0"/>
        <v>2024</v>
      </c>
    </row>
    <row r="6" spans="2:11" x14ac:dyDescent="0.2">
      <c r="B6" s="317" t="s">
        <v>1056</v>
      </c>
      <c r="C6">
        <v>12800</v>
      </c>
      <c r="D6">
        <v>13500</v>
      </c>
      <c r="E6">
        <v>14500</v>
      </c>
      <c r="F6">
        <v>15500</v>
      </c>
    </row>
    <row r="7" spans="2:11" x14ac:dyDescent="0.2">
      <c r="B7" t="s">
        <v>1057</v>
      </c>
      <c r="C7">
        <v>4600</v>
      </c>
      <c r="D7">
        <v>6800</v>
      </c>
      <c r="E7">
        <v>8000</v>
      </c>
      <c r="F7">
        <v>8600</v>
      </c>
      <c r="H7" t="s">
        <v>1058</v>
      </c>
    </row>
    <row r="8" spans="2:11" x14ac:dyDescent="0.2">
      <c r="B8" t="s">
        <v>118</v>
      </c>
      <c r="C8">
        <v>8200</v>
      </c>
      <c r="D8">
        <v>6700</v>
      </c>
      <c r="E8">
        <v>6500</v>
      </c>
      <c r="F8">
        <v>6900</v>
      </c>
    </row>
    <row r="10" spans="2:11" x14ac:dyDescent="0.2">
      <c r="B10" t="s">
        <v>1059</v>
      </c>
    </row>
    <row r="12" spans="2:11" x14ac:dyDescent="0.2">
      <c r="B12" t="s">
        <v>295</v>
      </c>
      <c r="E12">
        <v>2023</v>
      </c>
      <c r="F12">
        <v>2024</v>
      </c>
    </row>
    <row r="13" spans="2:11" x14ac:dyDescent="0.2">
      <c r="B13" t="s">
        <v>1060</v>
      </c>
      <c r="E13">
        <v>50</v>
      </c>
      <c r="F13">
        <v>61</v>
      </c>
    </row>
    <row r="15" spans="2:11" x14ac:dyDescent="0.2">
      <c r="B15" s="37" t="s">
        <v>1061</v>
      </c>
      <c r="C15" s="6"/>
      <c r="D15" s="6"/>
      <c r="E15" s="6"/>
      <c r="F15" s="6"/>
      <c r="G15" s="6"/>
    </row>
    <row r="16" spans="2:11" x14ac:dyDescent="0.2">
      <c r="B16" s="317" t="s">
        <v>295</v>
      </c>
      <c r="E16" s="317">
        <v>2023</v>
      </c>
      <c r="F16" s="317">
        <f>E16+1</f>
        <v>2024</v>
      </c>
      <c r="G16" s="317">
        <f>F16+1</f>
        <v>2025</v>
      </c>
      <c r="J16" s="317">
        <f>E16</f>
        <v>2023</v>
      </c>
      <c r="K16" s="317">
        <f>F16</f>
        <v>2024</v>
      </c>
    </row>
    <row r="17" spans="2:11" x14ac:dyDescent="0.2">
      <c r="B17" s="317"/>
    </row>
    <row r="18" spans="2:11" x14ac:dyDescent="0.2">
      <c r="B18" s="317" t="s">
        <v>1062</v>
      </c>
    </row>
    <row r="19" spans="2:11" x14ac:dyDescent="0.2">
      <c r="B19" t="s">
        <v>1063</v>
      </c>
      <c r="E19" s="543">
        <v>7.0000000000000007E-2</v>
      </c>
      <c r="F19" s="543">
        <v>7.0000000000000007E-2</v>
      </c>
    </row>
    <row r="20" spans="2:11" x14ac:dyDescent="0.2">
      <c r="B20" t="s">
        <v>1064</v>
      </c>
      <c r="E20" s="572">
        <v>0.105</v>
      </c>
      <c r="F20" s="572">
        <v>0.105</v>
      </c>
    </row>
    <row r="21" spans="2:11" x14ac:dyDescent="0.2">
      <c r="B21" t="s">
        <v>1065</v>
      </c>
      <c r="E21" s="543">
        <v>0.1</v>
      </c>
      <c r="F21" s="543">
        <v>0.1</v>
      </c>
    </row>
    <row r="23" spans="2:11" x14ac:dyDescent="0.2">
      <c r="B23" s="317" t="s">
        <v>1066</v>
      </c>
    </row>
    <row r="24" spans="2:11" x14ac:dyDescent="0.2">
      <c r="B24" t="s">
        <v>123</v>
      </c>
      <c r="E24">
        <v>915.00000000000011</v>
      </c>
      <c r="F24">
        <v>918.99999999999989</v>
      </c>
    </row>
    <row r="25" spans="2:11" x14ac:dyDescent="0.2">
      <c r="B25" t="s">
        <v>124</v>
      </c>
      <c r="E25">
        <v>538</v>
      </c>
      <c r="F25">
        <v>515</v>
      </c>
      <c r="I25" t="s">
        <v>154</v>
      </c>
      <c r="J25" s="320">
        <f>E25/E$24</f>
        <v>0.58797814207650267</v>
      </c>
      <c r="K25" s="320">
        <f>F25/F$24</f>
        <v>0.56039173014145816</v>
      </c>
    </row>
    <row r="26" spans="2:11" x14ac:dyDescent="0.2">
      <c r="B26" t="s">
        <v>1067</v>
      </c>
      <c r="E26">
        <v>281</v>
      </c>
      <c r="F26">
        <v>283</v>
      </c>
      <c r="I26" t="s">
        <v>276</v>
      </c>
      <c r="J26" s="320">
        <f>E26/E$24</f>
        <v>0.307103825136612</v>
      </c>
      <c r="K26" s="320">
        <f>F26/F$24</f>
        <v>0.30794341675734499</v>
      </c>
    </row>
    <row r="28" spans="2:11" x14ac:dyDescent="0.2">
      <c r="B28" s="317" t="s">
        <v>1068</v>
      </c>
    </row>
    <row r="29" spans="2:11" x14ac:dyDescent="0.2">
      <c r="B29" t="s">
        <v>123</v>
      </c>
      <c r="E29" s="573">
        <f>E19*E24</f>
        <v>64.050000000000011</v>
      </c>
      <c r="F29" s="573">
        <f>F19*F24</f>
        <v>64.33</v>
      </c>
    </row>
    <row r="30" spans="2:11" x14ac:dyDescent="0.2">
      <c r="B30" t="s">
        <v>124</v>
      </c>
      <c r="E30" s="573">
        <f t="shared" ref="E30:F31" si="1">E20*E25</f>
        <v>56.489999999999995</v>
      </c>
      <c r="F30" s="573">
        <f t="shared" si="1"/>
        <v>54.074999999999996</v>
      </c>
      <c r="I30" t="s">
        <v>154</v>
      </c>
      <c r="J30" s="320">
        <f>E30/E$29</f>
        <v>0.8819672131147539</v>
      </c>
      <c r="K30" s="320">
        <f>F30/F$29</f>
        <v>0.84058759521218707</v>
      </c>
    </row>
    <row r="31" spans="2:11" x14ac:dyDescent="0.2">
      <c r="B31" t="s">
        <v>1067</v>
      </c>
      <c r="E31" s="573">
        <f t="shared" si="1"/>
        <v>28.1</v>
      </c>
      <c r="F31" s="573">
        <f t="shared" si="1"/>
        <v>28.3</v>
      </c>
      <c r="I31" t="s">
        <v>276</v>
      </c>
      <c r="J31" s="320">
        <f>E31/E$29</f>
        <v>0.43871975019515996</v>
      </c>
      <c r="K31" s="320">
        <f>F31/F$29</f>
        <v>0.43991916679620707</v>
      </c>
    </row>
    <row r="33" spans="2:11" x14ac:dyDescent="0.2">
      <c r="B33" s="317" t="s">
        <v>1069</v>
      </c>
    </row>
    <row r="34" spans="2:11" x14ac:dyDescent="0.2">
      <c r="B34" t="s">
        <v>123</v>
      </c>
      <c r="E34" s="573">
        <f>E24-E29</f>
        <v>850.95</v>
      </c>
      <c r="F34" s="573">
        <f>F24-F29</f>
        <v>854.66999999999985</v>
      </c>
      <c r="G34" s="573"/>
    </row>
    <row r="35" spans="2:11" x14ac:dyDescent="0.2">
      <c r="B35" t="s">
        <v>124</v>
      </c>
      <c r="E35" s="573">
        <f t="shared" ref="E35:F36" si="2">E25-E30</f>
        <v>481.51</v>
      </c>
      <c r="F35" s="573">
        <f t="shared" si="2"/>
        <v>460.92500000000001</v>
      </c>
      <c r="I35" t="s">
        <v>154</v>
      </c>
      <c r="J35" s="320">
        <f>E35/E$34</f>
        <v>0.56584993242846227</v>
      </c>
      <c r="K35" s="320">
        <f>F35/F$34</f>
        <v>0.53930171879204847</v>
      </c>
    </row>
    <row r="36" spans="2:11" x14ac:dyDescent="0.2">
      <c r="B36" t="s">
        <v>1067</v>
      </c>
      <c r="E36" s="573">
        <f t="shared" si="2"/>
        <v>252.9</v>
      </c>
      <c r="F36" s="573">
        <f t="shared" si="2"/>
        <v>254.7</v>
      </c>
      <c r="I36" t="s">
        <v>276</v>
      </c>
      <c r="J36" s="320">
        <f>E36/E$34</f>
        <v>0.29719725013220516</v>
      </c>
      <c r="K36" s="320">
        <f>F36/F$34</f>
        <v>0.29800975815226932</v>
      </c>
    </row>
    <row r="38" spans="2:11" x14ac:dyDescent="0.2">
      <c r="B38" s="317" t="s">
        <v>1070</v>
      </c>
      <c r="E38" s="320"/>
      <c r="F38" s="320"/>
    </row>
    <row r="39" spans="2:11" x14ac:dyDescent="0.2">
      <c r="B39" t="s">
        <v>123</v>
      </c>
      <c r="F39" s="573">
        <v>67</v>
      </c>
    </row>
    <row r="40" spans="2:11" x14ac:dyDescent="0.2">
      <c r="B40" t="s">
        <v>124</v>
      </c>
      <c r="F40" s="574">
        <f>0.27*F39</f>
        <v>18.09</v>
      </c>
      <c r="I40" t="s">
        <v>154</v>
      </c>
      <c r="J40" s="320"/>
      <c r="K40" s="320">
        <f>F40/F$39</f>
        <v>0.27</v>
      </c>
    </row>
    <row r="41" spans="2:11" x14ac:dyDescent="0.2">
      <c r="F41" s="573"/>
    </row>
    <row r="42" spans="2:11" x14ac:dyDescent="0.2">
      <c r="B42" s="317" t="s">
        <v>1071</v>
      </c>
      <c r="F42" s="573"/>
    </row>
    <row r="43" spans="2:11" x14ac:dyDescent="0.2">
      <c r="B43" t="s">
        <v>123</v>
      </c>
      <c r="F43" s="573">
        <f>F34+(0.75*F39)</f>
        <v>904.91999999999985</v>
      </c>
    </row>
    <row r="44" spans="2:11" x14ac:dyDescent="0.2">
      <c r="B44" t="s">
        <v>124</v>
      </c>
      <c r="F44" s="573">
        <f>F35+(0.75*F40)</f>
        <v>474.49250000000001</v>
      </c>
      <c r="I44" t="s">
        <v>154</v>
      </c>
      <c r="J44" s="320"/>
      <c r="K44" s="320">
        <f>F44/F$43</f>
        <v>0.52434745612871869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BE653-8A5A-46E8-9AD6-B16679D71DBD}">
  <sheetPr>
    <tabColor rgb="FFC00000"/>
  </sheetPr>
  <dimension ref="A2:BK43"/>
  <sheetViews>
    <sheetView zoomScale="70" zoomScaleNormal="70" workbookViewId="0">
      <pane xSplit="3" ySplit="6" topLeftCell="D7" activePane="bottomRight" state="frozen"/>
      <selection pane="topRight" activeCell="D1" sqref="D1"/>
      <selection pane="bottomLeft" activeCell="A4" sqref="A4"/>
      <selection pane="bottomRight" activeCell="L30" sqref="L30"/>
    </sheetView>
  </sheetViews>
  <sheetFormatPr defaultColWidth="8.85546875" defaultRowHeight="12.75" x14ac:dyDescent="0.2"/>
  <cols>
    <col min="1" max="1" width="2.7109375" style="1" customWidth="1"/>
    <col min="2" max="2" width="34.42578125" style="1" bestFit="1" customWidth="1"/>
    <col min="3" max="3" width="10.28515625" style="1" bestFit="1" customWidth="1"/>
    <col min="4" max="6" width="10.7109375" style="1" customWidth="1"/>
    <col min="7" max="22" width="8.85546875" style="1"/>
    <col min="23" max="23" width="15.85546875" style="1" bestFit="1" customWidth="1"/>
    <col min="24" max="29" width="8.85546875" style="1"/>
    <col min="30" max="30" width="15" style="1" bestFit="1" customWidth="1"/>
    <col min="31" max="38" width="8.85546875" style="1"/>
    <col min="39" max="39" width="17.85546875" style="1" bestFit="1" customWidth="1"/>
    <col min="40" max="44" width="8.85546875" style="1"/>
    <col min="45" max="45" width="17.85546875" style="1" bestFit="1" customWidth="1"/>
    <col min="46" max="50" width="8.85546875" style="1"/>
    <col min="51" max="51" width="17.85546875" style="1" bestFit="1" customWidth="1"/>
    <col min="52" max="16384" width="8.85546875" style="1"/>
  </cols>
  <sheetData>
    <row r="2" spans="1:63" x14ac:dyDescent="0.2">
      <c r="B2" s="34" t="s">
        <v>504</v>
      </c>
    </row>
    <row r="4" spans="1:63" ht="15" x14ac:dyDescent="0.35">
      <c r="B4" s="299"/>
      <c r="C4" s="299"/>
      <c r="D4" s="303"/>
      <c r="E4" s="303"/>
      <c r="F4" s="303"/>
      <c r="G4" s="304" t="s">
        <v>121</v>
      </c>
      <c r="H4" s="305"/>
      <c r="I4" s="305"/>
      <c r="J4" s="305"/>
      <c r="K4" s="305"/>
      <c r="L4" s="305"/>
      <c r="M4" s="305"/>
      <c r="N4" s="305"/>
      <c r="O4" s="305"/>
      <c r="P4" s="306" t="s">
        <v>349</v>
      </c>
      <c r="Q4" s="307"/>
      <c r="R4" s="307"/>
      <c r="S4" s="307"/>
      <c r="T4" s="307"/>
      <c r="U4" s="307"/>
    </row>
    <row r="5" spans="1:63" ht="25.5" x14ac:dyDescent="0.35">
      <c r="B5" s="34" t="s">
        <v>375</v>
      </c>
      <c r="C5" s="34" t="s">
        <v>374</v>
      </c>
      <c r="D5" s="313" t="s">
        <v>500</v>
      </c>
      <c r="E5" s="313" t="s">
        <v>499</v>
      </c>
      <c r="F5" s="313" t="s">
        <v>498</v>
      </c>
      <c r="G5" s="297" t="s">
        <v>474</v>
      </c>
      <c r="H5" s="297"/>
      <c r="I5" s="297"/>
      <c r="J5" s="297" t="s">
        <v>124</v>
      </c>
      <c r="K5" s="297"/>
      <c r="L5" s="297"/>
      <c r="M5" s="297" t="s">
        <v>154</v>
      </c>
      <c r="N5" s="297"/>
      <c r="O5" s="297"/>
      <c r="P5" s="298" t="s">
        <v>417</v>
      </c>
      <c r="Q5" s="298"/>
      <c r="R5" s="298"/>
      <c r="S5" s="298" t="s">
        <v>419</v>
      </c>
      <c r="T5" s="298"/>
      <c r="U5" s="298"/>
    </row>
    <row r="6" spans="1:63" x14ac:dyDescent="0.2">
      <c r="B6" s="302" t="s">
        <v>108</v>
      </c>
      <c r="C6" s="294"/>
      <c r="D6" s="314"/>
      <c r="E6" s="314"/>
      <c r="F6" s="314"/>
      <c r="G6" s="295">
        <v>0</v>
      </c>
      <c r="H6" s="296">
        <f>G6+1</f>
        <v>1</v>
      </c>
      <c r="I6" s="296">
        <f>H6+1</f>
        <v>2</v>
      </c>
      <c r="J6" s="295">
        <v>0</v>
      </c>
      <c r="K6" s="296">
        <f>J6+1</f>
        <v>1</v>
      </c>
      <c r="L6" s="296">
        <f>K6+1</f>
        <v>2</v>
      </c>
      <c r="M6" s="295">
        <v>0</v>
      </c>
      <c r="N6" s="296">
        <f>M6+1</f>
        <v>1</v>
      </c>
      <c r="O6" s="296">
        <f>N6+1</f>
        <v>2</v>
      </c>
      <c r="P6" s="292">
        <v>0</v>
      </c>
      <c r="Q6" s="293">
        <f>P6+1</f>
        <v>1</v>
      </c>
      <c r="R6" s="293">
        <f>Q6+1</f>
        <v>2</v>
      </c>
      <c r="S6" s="292">
        <v>0</v>
      </c>
      <c r="T6" s="293">
        <f>S6+1</f>
        <v>1</v>
      </c>
      <c r="U6" s="293">
        <f>T6+1</f>
        <v>2</v>
      </c>
    </row>
    <row r="7" spans="1:63" x14ac:dyDescent="0.2">
      <c r="D7" s="8"/>
      <c r="E7" s="8"/>
      <c r="F7" s="8"/>
      <c r="G7" s="8"/>
      <c r="H7" s="308"/>
      <c r="I7" s="8"/>
      <c r="J7" s="8"/>
      <c r="K7" s="8"/>
      <c r="L7" s="8"/>
      <c r="M7" s="8"/>
      <c r="N7" s="8"/>
      <c r="O7" s="8"/>
      <c r="P7" s="8"/>
      <c r="Q7" s="8"/>
      <c r="R7" s="8"/>
      <c r="S7" s="8"/>
      <c r="T7" s="8"/>
      <c r="U7" s="8"/>
    </row>
    <row r="8" spans="1:63" x14ac:dyDescent="0.2">
      <c r="A8" s="1" t="s">
        <v>22</v>
      </c>
      <c r="B8" s="142" t="s">
        <v>473</v>
      </c>
      <c r="C8" s="143"/>
      <c r="D8" s="309"/>
      <c r="E8" s="309"/>
      <c r="F8" s="309"/>
      <c r="G8" s="309"/>
      <c r="H8" s="309"/>
      <c r="I8" s="309"/>
      <c r="J8" s="309"/>
      <c r="K8" s="8"/>
      <c r="L8" s="8"/>
      <c r="M8" s="8"/>
      <c r="N8" s="8"/>
      <c r="O8" s="8"/>
      <c r="P8" s="8"/>
      <c r="Q8" s="8"/>
      <c r="R8" s="8"/>
      <c r="S8" s="8"/>
      <c r="T8" s="8"/>
      <c r="U8" s="8"/>
      <c r="W8" s="37" t="s">
        <v>591</v>
      </c>
      <c r="X8" s="37"/>
      <c r="Y8" s="37"/>
      <c r="Z8" s="37"/>
      <c r="AA8" s="37"/>
      <c r="AC8" s="37" t="s">
        <v>420</v>
      </c>
      <c r="AD8" s="37"/>
      <c r="AE8" s="37"/>
      <c r="AF8" s="37"/>
      <c r="AH8" s="37" t="s">
        <v>421</v>
      </c>
      <c r="AI8" s="37"/>
      <c r="AJ8" s="37"/>
      <c r="AK8" s="37"/>
      <c r="BJ8" s="37" t="s">
        <v>528</v>
      </c>
      <c r="BK8" s="37" t="s">
        <v>591</v>
      </c>
    </row>
    <row r="9" spans="1:63" x14ac:dyDescent="0.2">
      <c r="D9" s="8"/>
      <c r="E9" s="8"/>
      <c r="F9" s="8"/>
      <c r="G9" s="8"/>
      <c r="H9" s="8"/>
      <c r="I9" s="8"/>
      <c r="J9" s="8"/>
      <c r="K9" s="8"/>
      <c r="L9" s="8"/>
      <c r="M9" s="8"/>
      <c r="N9" s="8"/>
      <c r="O9" s="8"/>
      <c r="P9" s="8"/>
      <c r="Q9" s="8"/>
      <c r="R9" s="8"/>
      <c r="S9" s="8"/>
      <c r="T9" s="8"/>
      <c r="U9" s="8"/>
      <c r="W9" s="515" t="s">
        <v>419</v>
      </c>
      <c r="X9" s="516" t="s">
        <v>986</v>
      </c>
      <c r="Y9" s="516" t="s">
        <v>987</v>
      </c>
      <c r="Z9" s="516" t="s">
        <v>988</v>
      </c>
      <c r="AA9" s="516" t="s">
        <v>989</v>
      </c>
      <c r="AC9" s="37">
        <v>2025</v>
      </c>
      <c r="AD9" s="37">
        <f>AC9+1</f>
        <v>2026</v>
      </c>
      <c r="AE9" s="37">
        <f t="shared" ref="AE9:AF9" si="0">AD9+1</f>
        <v>2027</v>
      </c>
      <c r="AF9" s="37">
        <f t="shared" si="0"/>
        <v>2028</v>
      </c>
      <c r="AH9" s="37">
        <v>2025</v>
      </c>
      <c r="AI9" s="37">
        <f>AH9+1</f>
        <v>2026</v>
      </c>
      <c r="AJ9" s="37">
        <f t="shared" ref="AJ9:AK9" si="1">AI9+1</f>
        <v>2027</v>
      </c>
      <c r="AK9" s="37">
        <f t="shared" si="1"/>
        <v>2028</v>
      </c>
      <c r="AM9" s="515" t="s">
        <v>419</v>
      </c>
      <c r="AN9" s="516" t="s">
        <v>986</v>
      </c>
      <c r="AO9" s="516" t="s">
        <v>987</v>
      </c>
      <c r="AP9" s="516" t="s">
        <v>988</v>
      </c>
      <c r="AQ9" s="516" t="s">
        <v>989</v>
      </c>
      <c r="AS9" s="515" t="s">
        <v>420</v>
      </c>
      <c r="AT9" s="516" t="s">
        <v>986</v>
      </c>
      <c r="AU9" s="516" t="s">
        <v>987</v>
      </c>
      <c r="AV9" s="516" t="s">
        <v>988</v>
      </c>
      <c r="AW9" s="516" t="s">
        <v>989</v>
      </c>
      <c r="AY9" s="515" t="s">
        <v>421</v>
      </c>
      <c r="AZ9" s="516" t="s">
        <v>986</v>
      </c>
      <c r="BA9" s="516" t="s">
        <v>987</v>
      </c>
      <c r="BB9" s="516" t="s">
        <v>988</v>
      </c>
      <c r="BC9" s="516" t="s">
        <v>989</v>
      </c>
      <c r="BJ9" s="6"/>
      <c r="BK9" s="37" t="s">
        <v>587</v>
      </c>
    </row>
    <row r="10" spans="1:63" x14ac:dyDescent="0.2">
      <c r="B10" s="291" t="str" cm="1">
        <f t="array" ref="B10">_xll.FDS($C10,"FG_COMPANY_NAME")</f>
        <v>China Mobile Limited</v>
      </c>
      <c r="C10" s="103" t="s">
        <v>543</v>
      </c>
      <c r="D10" s="315" cm="1">
        <f t="array" ref="D10">_xll.FDS($C10,"FG_MKT_VALUE(0,,,USD)")</f>
        <v>239308.16</v>
      </c>
      <c r="E10" s="310" cm="1">
        <f t="array" ref="E10">_xll.FDS($C10,"FF_NET_DEBT(ANN_R,0,,,,USD,M)")</f>
        <v>-43611.7421490001</v>
      </c>
      <c r="F10" s="310" cm="1">
        <f t="array" ref="F10">_xll.FDS($C10,"FG_ENT_VALUE(0,,,USD)")</f>
        <v>205884.81</v>
      </c>
      <c r="G10" s="310" cm="1">
        <f t="array" ref="G10">_xll.FDS($C10,"FE_ESTIMATE(SALES,MEAN,ANN_ROLL,"&amp;G$6&amp;",0,,,'CURRENCY=USD')")</f>
        <v>143552.95000000001</v>
      </c>
      <c r="H10" s="310" cm="1">
        <f t="array" ref="H10">_xll.FDS($C10,"FE_ESTIMATE(SALES,MEAN,ANN_ROLL,"&amp;H$6&amp;",0,,,'CURRENCY=USD')")</f>
        <v>147544.56</v>
      </c>
      <c r="I10" s="310" cm="1">
        <f t="array" ref="I10">_xll.FDS($C10,"FE_ESTIMATE(SALES,MEAN,ANN_ROLL,"&amp;I$6&amp;",0,,,'CURRENCY=USD')")</f>
        <v>151485.66</v>
      </c>
      <c r="J10" s="310" cm="1">
        <f t="array" ref="J10">_xll.FDS($C10,"FE_ESTIMATE(EBITDA,MEAN,ANN_ROLL,"&amp;J$6&amp;",0,,,'CURRENCY=USD')")</f>
        <v>46475.76</v>
      </c>
      <c r="K10" s="310" cm="1">
        <f t="array" ref="K10">_xll.FDS($C10,"FE_ESTIMATE(EBITDA,MEAN,ANN_ROLL,"&amp;K$6&amp;",0,,,'CURRENCY=USD')")</f>
        <v>48121.54</v>
      </c>
      <c r="L10" s="310" cm="1">
        <f t="array" ref="L10">_xll.FDS($C10,"FE_ESTIMATE(EBITDA,MEAN,ANN_ROLL,"&amp;L$6&amp;",0,,,'CURRENCY=USD')")</f>
        <v>49350.879999999997</v>
      </c>
      <c r="M10" s="311">
        <f>IFERROR(J10/G10,"")</f>
        <v>0.32375343035444409</v>
      </c>
      <c r="N10" s="311">
        <f t="shared" ref="N10" si="2">IFERROR(K10/H10,"")</f>
        <v>0.32614919858787067</v>
      </c>
      <c r="O10" s="311">
        <f t="shared" ref="O10" si="3">IFERROR(L10/I10,"")</f>
        <v>0.32577921897029721</v>
      </c>
      <c r="P10" s="312">
        <f>IFERROR($F10/G10,"")</f>
        <v>1.4342081441029249</v>
      </c>
      <c r="Q10" s="312">
        <f t="shared" ref="Q10" si="4">IFERROR($F10/H10,"")</f>
        <v>1.3954076653181926</v>
      </c>
      <c r="R10" s="312">
        <f t="shared" ref="R10" si="5">IFERROR($F10/I10,"")</f>
        <v>1.3591042874949351</v>
      </c>
      <c r="S10" s="312">
        <f t="shared" ref="S10" si="6">IFERROR($F10/J10,"")</f>
        <v>4.4299396072275092</v>
      </c>
      <c r="T10" s="312">
        <f t="shared" ref="T10" si="7">IFERROR($F10/K10,"")</f>
        <v>4.2784335247791319</v>
      </c>
      <c r="U10" s="312">
        <f t="shared" ref="U10" si="8">IFERROR($F10/L10,"")</f>
        <v>4.171856915216102</v>
      </c>
      <c r="V10" s="136"/>
      <c r="W10" s="517" t="s">
        <v>564</v>
      </c>
      <c r="X10" s="518">
        <f>_xlfn.XLOOKUP($W10,'[1]EM Multiples'!$C:$C,'[1]EM Multiples'!I:I)</f>
        <v>3.9627039622122524</v>
      </c>
      <c r="Y10" s="518">
        <f>_xlfn.XLOOKUP($W10,'[1]EM Multiples'!$C:$C,'[1]EM Multiples'!J:J)</f>
        <v>3.4120890678072824</v>
      </c>
      <c r="Z10" s="518">
        <f>_xlfn.XLOOKUP($W10,'[1]EM Multiples'!$C:$C,'[1]EM Multiples'!K:K)</f>
        <v>3.0512080667078618</v>
      </c>
      <c r="AA10" s="518">
        <f>_xlfn.XLOOKUP($W10,'[1]EM Multiples'!$C:$C,'[1]EM Multiples'!L:L)</f>
        <v>2.4704924591337103</v>
      </c>
      <c r="AC10" s="330">
        <f>_xlfn.XLOOKUP($W10,'[1]EM Multiples'!$C$58:$C$106,'[1]EM Multiples'!O$58:O$106)</f>
        <v>11.422727709947594</v>
      </c>
      <c r="AD10" s="330">
        <f>_xlfn.XLOOKUP($W10,'[1]EM Multiples'!$C$58:$C$106,'[1]EM Multiples'!P$58:P$106)</f>
        <v>10.867033722374835</v>
      </c>
      <c r="AE10" s="330">
        <f>_xlfn.XLOOKUP($W10,'[1]EM Multiples'!$C$58:$C$106,'[1]EM Multiples'!Q$58:Q$106)</f>
        <v>10.272133441074461</v>
      </c>
      <c r="AF10" s="330">
        <f>_xlfn.XLOOKUP($W10,'[1]EM Multiples'!$C$58:$C$106,'[1]EM Multiples'!R$58:R$106)</f>
        <v>9.6489919938521798</v>
      </c>
      <c r="AH10" s="513">
        <f>_xlfn.XLOOKUP($W10,'[2]FCFE charts'!$B$43:$B$70,'[2]FCFE charts'!D$43:D$70)</f>
        <v>7.512146172669916E-2</v>
      </c>
      <c r="AI10" s="513">
        <f>_xlfn.XLOOKUP($W10,'[2]FCFE charts'!$B$43:$B$70,'[2]FCFE charts'!E$43:E$70)</f>
        <v>8.0085691077571658E-2</v>
      </c>
      <c r="AJ10" s="513">
        <f>_xlfn.XLOOKUP($W10,'[2]FCFE charts'!$B$43:$B$70,'[2]FCFE charts'!F$43:F$70)</f>
        <v>8.6064916767417399E-2</v>
      </c>
      <c r="AK10" s="513">
        <f>_xlfn.XLOOKUP($W10,'[2]FCFE charts'!$B$43:$B$70,'[2]FCFE charts'!G$43:G$70)</f>
        <v>8.9654698819501749E-2</v>
      </c>
      <c r="AM10" s="517" t="s">
        <v>564</v>
      </c>
      <c r="AN10" s="525">
        <v>3.9303071717314118</v>
      </c>
      <c r="AO10" s="525">
        <v>3.3526698834321</v>
      </c>
      <c r="AP10" s="525">
        <v>3.0113273670548364</v>
      </c>
      <c r="AQ10" s="525">
        <v>2.4730933905546535</v>
      </c>
      <c r="AS10" s="517" t="s">
        <v>564</v>
      </c>
      <c r="AT10" s="525">
        <v>10.712538322450639</v>
      </c>
      <c r="AU10" s="525">
        <v>10.00303112087688</v>
      </c>
      <c r="AV10" s="525">
        <v>9.4562581001132671</v>
      </c>
      <c r="AW10" s="525">
        <v>9.3252684330438012</v>
      </c>
      <c r="AY10" s="517" t="s">
        <v>564</v>
      </c>
      <c r="AZ10" s="534">
        <v>8.2852245616412537E-2</v>
      </c>
      <c r="BA10" s="534">
        <v>8.39590165652047E-2</v>
      </c>
      <c r="BB10" s="534">
        <v>8.5351045923616711E-2</v>
      </c>
      <c r="BC10" s="534">
        <v>8.8008029444922461E-2</v>
      </c>
      <c r="BJ10" s="1" t="s">
        <v>566</v>
      </c>
      <c r="BK10" s="455">
        <v>1.6071821932462576</v>
      </c>
    </row>
    <row r="11" spans="1:63" x14ac:dyDescent="0.2">
      <c r="B11" s="291" t="str" cm="1">
        <f t="array" ref="B11">_xll.FDS($C11,"FG_COMPANY_NAME")</f>
        <v>China Telecom Corp. Ltd. Class H</v>
      </c>
      <c r="C11" s="103" t="s">
        <v>544</v>
      </c>
      <c r="D11" s="315" cm="1">
        <f t="array" ref="D11">_xll.FDS($C11,"FG_MKT_VALUE(0,,,USD)")</f>
        <v>72273.62</v>
      </c>
      <c r="E11" s="310" cm="1">
        <f t="array" ref="E11">_xll.FDS($C11,"FF_NET_DEBT(ANN_R,0,,,,USD,M)")</f>
        <v>-5653.4577047155499</v>
      </c>
      <c r="F11" s="310" cm="1">
        <f t="array" ref="F11">_xll.FDS($C11,"FG_ENT_VALUE(0,,,USD)")</f>
        <v>70341.983999999997</v>
      </c>
      <c r="G11" s="310" cm="1">
        <f t="array" ref="G11">_xll.FDS($C11,"FE_ESTIMATE(SALES,MEAN,ANN_ROLL,"&amp;G$6&amp;",0,,,'CURRENCY=USD')")</f>
        <v>72887.31</v>
      </c>
      <c r="H11" s="310" cm="1">
        <f t="array" ref="H11">_xll.FDS($C11,"FE_ESTIMATE(SALES,MEAN,ANN_ROLL,"&amp;H$6&amp;",0,,,'CURRENCY=USD')")</f>
        <v>75548.47</v>
      </c>
      <c r="I11" s="310" cm="1">
        <f t="array" ref="I11">_xll.FDS($C11,"FE_ESTIMATE(SALES,MEAN,ANN_ROLL,"&amp;I$6&amp;",0,,,'CURRENCY=USD')")</f>
        <v>77775.233999999997</v>
      </c>
      <c r="J11" s="310" cm="1">
        <f t="array" ref="J11">_xll.FDS($C11,"FE_ESTIMATE(EBITDA,MEAN,ANN_ROLL,"&amp;J$6&amp;",0,,,'CURRENCY=USD')")</f>
        <v>19474.666000000001</v>
      </c>
      <c r="K11" s="310" cm="1">
        <f t="array" ref="K11">_xll.FDS($C11,"FE_ESTIMATE(EBITDA,MEAN,ANN_ROLL,"&amp;K$6&amp;",0,,,'CURRENCY=USD')")</f>
        <v>20084.228999999999</v>
      </c>
      <c r="L11" s="310" cm="1">
        <f t="array" ref="L11">_xll.FDS($C11,"FE_ESTIMATE(EBITDA,MEAN,ANN_ROLL,"&amp;L$6&amp;",0,,,'CURRENCY=USD')")</f>
        <v>20664.451000000001</v>
      </c>
      <c r="M11" s="311">
        <f t="shared" ref="M11:M16" si="9">IFERROR(J11/G11,"")</f>
        <v>0.26718870541387796</v>
      </c>
      <c r="N11" s="311">
        <f t="shared" ref="N11:N16" si="10">IFERROR(K11/H11,"")</f>
        <v>0.26584560878598862</v>
      </c>
      <c r="O11" s="311">
        <f t="shared" ref="O11:O16" si="11">IFERROR(L11/I11,"")</f>
        <v>0.26569448829945019</v>
      </c>
      <c r="P11" s="312">
        <f t="shared" ref="P11:P16" si="12">IFERROR($F11/G11,"")</f>
        <v>0.96507861244982152</v>
      </c>
      <c r="Q11" s="312">
        <f t="shared" ref="Q11:Q16" si="13">IFERROR($F11/H11,"")</f>
        <v>0.93108416358398782</v>
      </c>
      <c r="R11" s="312">
        <f t="shared" ref="R11:R16" si="14">IFERROR($F11/I11,"")</f>
        <v>0.9044265170581165</v>
      </c>
      <c r="S11" s="312">
        <f t="shared" ref="S11:S16" si="15">IFERROR($F11/J11,"")</f>
        <v>3.6119738330813989</v>
      </c>
      <c r="T11" s="312">
        <f t="shared" ref="T11:T16" si="16">IFERROR($F11/K11,"")</f>
        <v>3.5023492313297164</v>
      </c>
      <c r="U11" s="312">
        <f t="shared" ref="U11:U16" si="17">IFERROR($F11/L11,"")</f>
        <v>3.4040093298389582</v>
      </c>
      <c r="V11" s="136"/>
      <c r="W11" s="519" t="s">
        <v>565</v>
      </c>
      <c r="X11" s="520">
        <f>_xlfn.XLOOKUP($W11,'[1]EM Multiples'!$C:$C,'[1]EM Multiples'!I:I)</f>
        <v>2.0234127673900923</v>
      </c>
      <c r="Y11" s="520">
        <f>_xlfn.XLOOKUP($W11,'[1]EM Multiples'!$C:$C,'[1]EM Multiples'!J:J)</f>
        <v>1.7842009770700733</v>
      </c>
      <c r="Z11" s="520">
        <f>_xlfn.XLOOKUP($W11,'[1]EM Multiples'!$C:$C,'[1]EM Multiples'!K:K)</f>
        <v>1.7867023352300853</v>
      </c>
      <c r="AA11" s="520">
        <f>_xlfn.XLOOKUP($W11,'[1]EM Multiples'!$C:$C,'[1]EM Multiples'!L:L)</f>
        <v>1.5524362048347222</v>
      </c>
      <c r="AC11" s="330">
        <f>_xlfn.XLOOKUP($W11,'[1]EM Multiples'!$C$58:$C$106,'[1]EM Multiples'!O$58:O$106)</f>
        <v>12.955694416563205</v>
      </c>
      <c r="AD11" s="330">
        <f>_xlfn.XLOOKUP($W11,'[1]EM Multiples'!$C$58:$C$106,'[1]EM Multiples'!P$58:P$106)</f>
        <v>11.928981445995355</v>
      </c>
      <c r="AE11" s="330">
        <f>_xlfn.XLOOKUP($W11,'[1]EM Multiples'!$C$58:$C$106,'[1]EM Multiples'!Q$58:Q$106)</f>
        <v>11.046851911256102</v>
      </c>
      <c r="AF11" s="330">
        <f>_xlfn.XLOOKUP($W11,'[1]EM Multiples'!$C$58:$C$106,'[1]EM Multiples'!R$58:R$106)</f>
        <v>10.370863070088447</v>
      </c>
      <c r="AH11" s="513">
        <f>_xlfn.XLOOKUP($W11,'[2]FCFE charts'!$B$43:$B$70,'[2]FCFE charts'!D$43:D$70)</f>
        <v>3.8338381592055021E-2</v>
      </c>
      <c r="AI11" s="513">
        <f>_xlfn.XLOOKUP($W11,'[2]FCFE charts'!$B$43:$B$70,'[2]FCFE charts'!E$43:E$70)</f>
        <v>7.5145262731032419E-2</v>
      </c>
      <c r="AJ11" s="513">
        <f>_xlfn.XLOOKUP($W11,'[2]FCFE charts'!$B$43:$B$70,'[2]FCFE charts'!F$43:F$70)</f>
        <v>9.6186233331538182E-2</v>
      </c>
      <c r="AK11" s="513">
        <f>_xlfn.XLOOKUP($W11,'[2]FCFE charts'!$B$43:$B$70,'[2]FCFE charts'!G$43:G$70)</f>
        <v>0.10489180696484608</v>
      </c>
      <c r="AM11" s="519" t="s">
        <v>565</v>
      </c>
      <c r="AN11" s="526">
        <v>2.2980383882514488</v>
      </c>
      <c r="AO11" s="526">
        <v>2.1272100737309634</v>
      </c>
      <c r="AP11" s="526">
        <v>2.1999685104566478</v>
      </c>
      <c r="AQ11" s="526">
        <v>2.0436176137032436</v>
      </c>
      <c r="AS11" s="519" t="s">
        <v>565</v>
      </c>
      <c r="AT11" s="526">
        <v>13.195824708993367</v>
      </c>
      <c r="AU11" s="526">
        <v>11.696022610014479</v>
      </c>
      <c r="AV11" s="526">
        <v>10.548266515015438</v>
      </c>
      <c r="AW11" s="526">
        <v>10.082009228596494</v>
      </c>
      <c r="AY11" s="519" t="s">
        <v>565</v>
      </c>
      <c r="AZ11" s="535">
        <v>7.1868202286963528E-2</v>
      </c>
      <c r="BA11" s="535">
        <v>7.5524534594601303E-2</v>
      </c>
      <c r="BB11" s="535">
        <v>8.18951007281261E-2</v>
      </c>
      <c r="BC11" s="535">
        <v>8.6387694248351382E-2</v>
      </c>
      <c r="BJ11" s="1" t="s">
        <v>565</v>
      </c>
      <c r="BK11" s="455">
        <v>1.9509989634192233</v>
      </c>
    </row>
    <row r="12" spans="1:63" x14ac:dyDescent="0.2">
      <c r="B12" s="291" t="str" cm="1">
        <f t="array" ref="B12">_xll.FDS($C12,"FG_COMPANY_NAME")</f>
        <v>China Unicom (Hong Kong) Limited</v>
      </c>
      <c r="C12" s="103" t="s">
        <v>545</v>
      </c>
      <c r="D12" s="315" cm="1">
        <f t="array" ref="D12">_xll.FDS($C12,"FG_MKT_VALUE(0,,,USD)")</f>
        <v>39407.49</v>
      </c>
      <c r="E12" s="310" cm="1">
        <f t="array" ref="E12">_xll.FDS($C12,"FF_NET_DEBT(ANN_R,0,,,,USD,M)")</f>
        <v>-3985.4780712541901</v>
      </c>
      <c r="F12" s="310" cm="1">
        <f t="array" ref="F12">_xll.FDS($C12,"FG_ENT_VALUE(0,,,USD)")</f>
        <v>35767.938000000002</v>
      </c>
      <c r="G12" s="310" cm="1">
        <f t="array" ref="G12">_xll.FDS($C12,"FE_ESTIMATE(SALES,MEAN,ANN_ROLL,"&amp;G$6&amp;",0,,,'CURRENCY=USD')")</f>
        <v>53841.120000000003</v>
      </c>
      <c r="H12" s="310" cm="1">
        <f t="array" ref="H12">_xll.FDS($C12,"FE_ESTIMATE(SALES,MEAN,ANN_ROLL,"&amp;H$6&amp;",0,,,'CURRENCY=USD')")</f>
        <v>55948.516000000003</v>
      </c>
      <c r="I12" s="310" cm="1">
        <f t="array" ref="I12">_xll.FDS($C12,"FE_ESTIMATE(SALES,MEAN,ANN_ROLL,"&amp;I$6&amp;",0,,,'CURRENCY=USD')")</f>
        <v>57578.875</v>
      </c>
      <c r="J12" s="310" cm="1">
        <f t="array" ref="J12">_xll.FDS($C12,"FE_ESTIMATE(EBITDA,MEAN,ANN_ROLL,"&amp;J$6&amp;",0,,,'CURRENCY=USD')")</f>
        <v>13952.901</v>
      </c>
      <c r="K12" s="310" cm="1">
        <f t="array" ref="K12">_xll.FDS($C12,"FE_ESTIMATE(EBITDA,MEAN,ANN_ROLL,"&amp;K$6&amp;",0,,,'CURRENCY=USD')")</f>
        <v>14188.705</v>
      </c>
      <c r="L12" s="310" cm="1">
        <f t="array" ref="L12">_xll.FDS($C12,"FE_ESTIMATE(EBITDA,MEAN,ANN_ROLL,"&amp;L$6&amp;",0,,,'CURRENCY=USD')")</f>
        <v>14181.034</v>
      </c>
      <c r="M12" s="311">
        <f t="shared" si="9"/>
        <v>0.25914953106473265</v>
      </c>
      <c r="N12" s="311">
        <f t="shared" si="10"/>
        <v>0.25360288376549611</v>
      </c>
      <c r="O12" s="311">
        <f t="shared" si="11"/>
        <v>0.24628883422956768</v>
      </c>
      <c r="P12" s="312">
        <f t="shared" si="12"/>
        <v>0.66432381050022737</v>
      </c>
      <c r="Q12" s="312">
        <f t="shared" si="13"/>
        <v>0.63930092444275022</v>
      </c>
      <c r="R12" s="312">
        <f t="shared" si="14"/>
        <v>0.62119897271351687</v>
      </c>
      <c r="S12" s="312">
        <f t="shared" si="15"/>
        <v>2.5634767995558776</v>
      </c>
      <c r="T12" s="312">
        <f t="shared" si="16"/>
        <v>2.5208740332539157</v>
      </c>
      <c r="U12" s="312">
        <f t="shared" si="17"/>
        <v>2.5222376591156896</v>
      </c>
      <c r="V12" s="136"/>
      <c r="W12" s="521" t="s">
        <v>566</v>
      </c>
      <c r="X12" s="522">
        <f>_xlfn.XLOOKUP($W12,'[1]EM Multiples'!$C:$C,'[1]EM Multiples'!I:I)</f>
        <v>1.7078854381307822</v>
      </c>
      <c r="Y12" s="522">
        <f>_xlfn.XLOOKUP($W12,'[1]EM Multiples'!$C:$C,'[1]EM Multiples'!J:J)</f>
        <v>1.4920840858773095</v>
      </c>
      <c r="Z12" s="522">
        <f>_xlfn.XLOOKUP($W12,'[1]EM Multiples'!$C:$C,'[1]EM Multiples'!K:K)</f>
        <v>1.5000081211360297</v>
      </c>
      <c r="AA12" s="522">
        <f>_xlfn.XLOOKUP($W12,'[1]EM Multiples'!$C:$C,'[1]EM Multiples'!L:L)</f>
        <v>1.2588424461609191</v>
      </c>
      <c r="AC12" s="330">
        <f>_xlfn.XLOOKUP($W12,'[1]EM Multiples'!$C$58:$C$106,'[1]EM Multiples'!O$58:O$106)</f>
        <v>12.872689004195855</v>
      </c>
      <c r="AD12" s="330">
        <f>_xlfn.XLOOKUP($W12,'[1]EM Multiples'!$C$58:$C$106,'[1]EM Multiples'!P$58:P$106)</f>
        <v>11.457266193087186</v>
      </c>
      <c r="AE12" s="330">
        <f>_xlfn.XLOOKUP($W12,'[1]EM Multiples'!$C$58:$C$106,'[1]EM Multiples'!Q$58:Q$106)</f>
        <v>10.017462501932815</v>
      </c>
      <c r="AF12" s="330">
        <f>_xlfn.XLOOKUP($W12,'[1]EM Multiples'!$C$58:$C$106,'[1]EM Multiples'!R$58:R$106)</f>
        <v>8.7544010959427467</v>
      </c>
      <c r="AH12" s="513">
        <f>_xlfn.XLOOKUP($W12,'[2]FCFE charts'!$B$43:$B$70,'[2]FCFE charts'!D$43:D$70)</f>
        <v>0.12423272756166352</v>
      </c>
      <c r="AI12" s="513">
        <f>_xlfn.XLOOKUP($W12,'[2]FCFE charts'!$B$43:$B$70,'[2]FCFE charts'!E$43:E$70)</f>
        <v>0.13202581370407648</v>
      </c>
      <c r="AJ12" s="513">
        <f>_xlfn.XLOOKUP($W12,'[2]FCFE charts'!$B$43:$B$70,'[2]FCFE charts'!F$43:F$70)</f>
        <v>0.14305788400465871</v>
      </c>
      <c r="AK12" s="513">
        <f>_xlfn.XLOOKUP($W12,'[2]FCFE charts'!$B$43:$B$70,'[2]FCFE charts'!G$43:G$70)</f>
        <v>0.15675072311377677</v>
      </c>
      <c r="AM12" s="521" t="s">
        <v>566</v>
      </c>
      <c r="AN12" s="527">
        <v>1.6942014080114127</v>
      </c>
      <c r="AO12" s="527">
        <v>1.457266023830375</v>
      </c>
      <c r="AP12" s="527">
        <v>1.450961580940594</v>
      </c>
      <c r="AQ12" s="527">
        <v>1.2301415832635405</v>
      </c>
      <c r="AS12" s="521" t="s">
        <v>566</v>
      </c>
      <c r="AT12" s="527">
        <v>12.1330576657378</v>
      </c>
      <c r="AU12" s="527">
        <v>10.492038303236294</v>
      </c>
      <c r="AV12" s="527">
        <v>8.8652454366789968</v>
      </c>
      <c r="AW12" s="527">
        <v>7.6449537645137022</v>
      </c>
      <c r="AY12" s="521" t="s">
        <v>566</v>
      </c>
      <c r="AZ12" s="536">
        <v>0.13454632465062411</v>
      </c>
      <c r="BA12" s="536">
        <v>0.14108809709990858</v>
      </c>
      <c r="BB12" s="536">
        <v>0.15411578899404957</v>
      </c>
      <c r="BC12" s="536">
        <v>0.16587130631151417</v>
      </c>
      <c r="BJ12" s="1" t="s">
        <v>585</v>
      </c>
      <c r="BK12" s="455">
        <v>3.1759041005966133</v>
      </c>
    </row>
    <row r="13" spans="1:63" x14ac:dyDescent="0.2">
      <c r="B13" s="291" t="str" cm="1">
        <f t="array" ref="B13">_xll.FDS($C13,"FG_COMPANY_NAME")</f>
        <v>Bharti Airtel Limited</v>
      </c>
      <c r="C13" s="103" t="s">
        <v>546</v>
      </c>
      <c r="D13" s="315" cm="1">
        <f t="array" ref="D13">_xll.FDS($C13,"FG_MKT_VALUE(0,,,USD)")</f>
        <v>120702.44500000001</v>
      </c>
      <c r="E13" s="310" cm="1">
        <f t="array" ref="E13">_xll.FDS($C13,"FF_NET_DEBT(ANN_R,0,,,,USD,M)")</f>
        <v>22845.826782807701</v>
      </c>
      <c r="F13" s="310" cm="1">
        <f t="array" ref="F13">_xll.FDS($C13,"FG_ENT_VALUE(0,,,USD)")</f>
        <v>146718.66</v>
      </c>
      <c r="G13" s="310" cm="1">
        <f t="array" ref="G13">_xll.FDS($C13,"FE_ESTIMATE(SALES,MEAN,ANN_ROLL,"&amp;G$6&amp;",0,,,'CURRENCY=USD')")</f>
        <v>20270.261999999999</v>
      </c>
      <c r="H13" s="310" cm="1">
        <f t="array" ref="H13">_xll.FDS($C13,"FE_ESTIMATE(SALES,MEAN,ANN_ROLL,"&amp;H$6&amp;",0,,,'CURRENCY=USD')")</f>
        <v>23670.451000000001</v>
      </c>
      <c r="I13" s="310" cm="1">
        <f t="array" ref="I13">_xll.FDS($C13,"FE_ESTIMATE(SALES,MEAN,ANN_ROLL,"&amp;I$6&amp;",0,,,'CURRENCY=USD')")</f>
        <v>26807.723000000002</v>
      </c>
      <c r="J13" s="310" cm="1">
        <f t="array" ref="J13">_xll.FDS($C13,"FE_ESTIMATE(EBITDA,MEAN,ANN_ROLL,"&amp;J$6&amp;",0,,,'CURRENCY=USD')")</f>
        <v>11052.018</v>
      </c>
      <c r="K13" s="310" cm="1">
        <f t="array" ref="K13">_xll.FDS($C13,"FE_ESTIMATE(EBITDA,MEAN,ANN_ROLL,"&amp;K$6&amp;",0,,,'CURRENCY=USD')")</f>
        <v>13322.99</v>
      </c>
      <c r="L13" s="310" cm="1">
        <f t="array" ref="L13">_xll.FDS($C13,"FE_ESTIMATE(EBITDA,MEAN,ANN_ROLL,"&amp;L$6&amp;",0,,,'CURRENCY=USD')")</f>
        <v>15363.379000000001</v>
      </c>
      <c r="M13" s="311">
        <f t="shared" si="9"/>
        <v>0.54523311045510914</v>
      </c>
      <c r="N13" s="311">
        <f t="shared" si="10"/>
        <v>0.56285323841104673</v>
      </c>
      <c r="O13" s="311">
        <f t="shared" si="11"/>
        <v>0.57309526064559824</v>
      </c>
      <c r="P13" s="312">
        <f t="shared" si="12"/>
        <v>7.2381235131543944</v>
      </c>
      <c r="Q13" s="312">
        <f t="shared" si="13"/>
        <v>6.1983888688897393</v>
      </c>
      <c r="R13" s="312">
        <f t="shared" si="14"/>
        <v>5.4729997023618902</v>
      </c>
      <c r="S13" s="312">
        <f t="shared" si="15"/>
        <v>13.27528239639132</v>
      </c>
      <c r="T13" s="312">
        <f t="shared" si="16"/>
        <v>11.012442402193502</v>
      </c>
      <c r="U13" s="312">
        <f t="shared" si="17"/>
        <v>9.5498952411445419</v>
      </c>
      <c r="V13" s="136"/>
      <c r="W13" s="519" t="s">
        <v>981</v>
      </c>
      <c r="X13" s="520">
        <v>4.0727756943312139</v>
      </c>
      <c r="Y13" s="520">
        <v>3.8053942784756676</v>
      </c>
      <c r="Z13" s="520">
        <v>3.5397663216152506</v>
      </c>
      <c r="AA13" s="520">
        <v>3.2482451804251111</v>
      </c>
      <c r="AC13" s="330">
        <v>14.208847299021693</v>
      </c>
      <c r="AD13" s="330">
        <v>11.308395396073122</v>
      </c>
      <c r="AE13" s="330">
        <v>9.632352941176471</v>
      </c>
      <c r="AF13" s="330">
        <v>8.2685643564356432</v>
      </c>
      <c r="AH13" s="513">
        <f>_xlfn.XLOOKUP($W13,'[2]FCFE charts'!$B$43:$B$70,'[2]FCFE charts'!D$43:D$70)</f>
        <v>2.6048615073377038E-2</v>
      </c>
      <c r="AI13" s="513">
        <f>_xlfn.XLOOKUP($W13,'[2]FCFE charts'!$B$43:$B$70,'[2]FCFE charts'!E$43:E$70)</f>
        <v>3.2816458697356284E-2</v>
      </c>
      <c r="AJ13" s="513">
        <f>_xlfn.XLOOKUP($W13,'[2]FCFE charts'!$B$43:$B$70,'[2]FCFE charts'!F$43:F$70)</f>
        <v>4.0335767117783687E-2</v>
      </c>
      <c r="AK13" s="513">
        <f>_xlfn.XLOOKUP($W13,'[2]FCFE charts'!$B$43:$B$70,'[2]FCFE charts'!G$43:G$70)</f>
        <v>4.9564075558855086E-2</v>
      </c>
      <c r="AM13" s="519" t="s">
        <v>981</v>
      </c>
      <c r="AN13" s="526">
        <v>4.0727756943312139</v>
      </c>
      <c r="AO13" s="526">
        <v>3.8053942784756676</v>
      </c>
      <c r="AP13" s="526">
        <v>3.5397663216152506</v>
      </c>
      <c r="AQ13" s="526">
        <v>3.2482451804251111</v>
      </c>
      <c r="AS13" s="519" t="s">
        <v>981</v>
      </c>
      <c r="AT13" s="526">
        <v>14.208847299021693</v>
      </c>
      <c r="AU13" s="526">
        <v>11.308395396073122</v>
      </c>
      <c r="AV13" s="526">
        <v>9.632352941176471</v>
      </c>
      <c r="AW13" s="526">
        <v>8.2685643564356432</v>
      </c>
      <c r="AY13" s="519" t="s">
        <v>981</v>
      </c>
      <c r="AZ13" s="535">
        <v>3.5644418566652195E-2</v>
      </c>
      <c r="BA13" s="535">
        <v>4.3058402765561415E-2</v>
      </c>
      <c r="BB13" s="535">
        <v>5.2215960218871059E-2</v>
      </c>
      <c r="BC13" s="535">
        <v>5.6435400702095746E-2</v>
      </c>
      <c r="BJ13" s="1" t="s">
        <v>571</v>
      </c>
      <c r="BK13" s="455">
        <v>3.8947768900483721</v>
      </c>
    </row>
    <row r="14" spans="1:63" x14ac:dyDescent="0.2">
      <c r="B14" s="291" t="str" cm="1">
        <f t="array" ref="B14">_xll.FDS($C14,"FG_COMPANY_NAME")</f>
        <v>Reliance Industries Limited</v>
      </c>
      <c r="C14" s="103" t="s">
        <v>547</v>
      </c>
      <c r="D14" s="315" cm="1">
        <f t="array" ref="D14">_xll.FDS($C14,"FG_MKT_VALUE(0,,,USD)")</f>
        <v>214077.9</v>
      </c>
      <c r="E14" s="310" cm="1">
        <f t="array" ref="E14">_xll.FDS($C14,"FF_NET_DEBT(ANN_R,0,,,,USD,M)")</f>
        <v>16890.1102462411</v>
      </c>
      <c r="F14" s="310" cm="1">
        <f t="array" ref="F14">_xll.FDS($C14,"FG_ENT_VALUE(0,,,USD)")</f>
        <v>250439.31</v>
      </c>
      <c r="G14" s="310" cm="1">
        <f t="array" ref="G14">_xll.FDS($C14,"FE_ESTIMATE(SALES,MEAN,ANN_ROLL,"&amp;G$6&amp;",0,,,'CURRENCY=USD')")</f>
        <v>113372.12</v>
      </c>
      <c r="H14" s="310" cm="1">
        <f t="array" ref="H14">_xll.FDS($C14,"FE_ESTIMATE(SALES,MEAN,ANN_ROLL,"&amp;H$6&amp;",0,,,'CURRENCY=USD')")</f>
        <v>115000.04</v>
      </c>
      <c r="I14" s="310" cm="1">
        <f t="array" ref="I14">_xll.FDS($C14,"FE_ESTIMATE(SALES,MEAN,ANN_ROLL,"&amp;I$6&amp;",0,,,'CURRENCY=USD')")</f>
        <v>124478.86</v>
      </c>
      <c r="J14" s="310" cm="1">
        <f t="array" ref="J14">_xll.FDS($C14,"FE_ESTIMATE(EBITDA,MEAN,ANN_ROLL,"&amp;J$6&amp;",0,,,'CURRENCY=USD')")</f>
        <v>19558.95</v>
      </c>
      <c r="K14" s="310" cm="1">
        <f t="array" ref="K14">_xll.FDS($C14,"FE_ESTIMATE(EBITDA,MEAN,ANN_ROLL,"&amp;K$6&amp;",0,,,'CURRENCY=USD')")</f>
        <v>21539.178</v>
      </c>
      <c r="L14" s="310" cm="1">
        <f t="array" ref="L14">_xll.FDS($C14,"FE_ESTIMATE(EBITDA,MEAN,ANN_ROLL,"&amp;L$6&amp;",0,,,'CURRENCY=USD')")</f>
        <v>24059.317999999999</v>
      </c>
      <c r="M14" s="311">
        <f t="shared" si="9"/>
        <v>0.17251992817987352</v>
      </c>
      <c r="N14" s="311">
        <f t="shared" si="10"/>
        <v>0.18729713485317048</v>
      </c>
      <c r="O14" s="311">
        <f t="shared" si="11"/>
        <v>0.1932803529852378</v>
      </c>
      <c r="P14" s="312">
        <f t="shared" si="12"/>
        <v>2.2090026189860437</v>
      </c>
      <c r="Q14" s="312">
        <f t="shared" si="13"/>
        <v>2.177732372962653</v>
      </c>
      <c r="R14" s="312">
        <f t="shared" si="14"/>
        <v>2.0119023422933018</v>
      </c>
      <c r="S14" s="312">
        <f t="shared" si="15"/>
        <v>12.804333054688518</v>
      </c>
      <c r="T14" s="312">
        <f t="shared" si="16"/>
        <v>11.627152623930217</v>
      </c>
      <c r="U14" s="312">
        <f t="shared" si="17"/>
        <v>10.40924393617475</v>
      </c>
      <c r="V14" s="136"/>
      <c r="W14" s="521" t="s">
        <v>982</v>
      </c>
      <c r="X14" s="522">
        <f>_xlfn.XLOOKUP($W14,'[1]EM Multiples'!$C:$C,'[1]EM Multiples'!I:I)</f>
        <v>4.3337254822124587</v>
      </c>
      <c r="Y14" s="522">
        <f>_xlfn.XLOOKUP($W14,'[1]EM Multiples'!$C:$C,'[1]EM Multiples'!J:J)</f>
        <v>3.8726810573439909</v>
      </c>
      <c r="Z14" s="522">
        <f>_xlfn.XLOOKUP($W14,'[1]EM Multiples'!$C:$C,'[1]EM Multiples'!K:K)</f>
        <v>3.525498518837781</v>
      </c>
      <c r="AA14" s="522">
        <f>_xlfn.XLOOKUP($W14,'[1]EM Multiples'!$C:$C,'[1]EM Multiples'!L:L)</f>
        <v>3.1723634888007148</v>
      </c>
      <c r="AC14" s="330">
        <f>_xlfn.XLOOKUP($W14,'[1]EM Multiples'!$C$58:$C$106,'[1]EM Multiples'!O$58:O$106)</f>
        <v>15.578449421879949</v>
      </c>
      <c r="AD14" s="330">
        <f>_xlfn.XLOOKUP($W14,'[1]EM Multiples'!$C$58:$C$106,'[1]EM Multiples'!P$58:P$106)</f>
        <v>12.680600343490918</v>
      </c>
      <c r="AE14" s="330">
        <f>_xlfn.XLOOKUP($W14,'[1]EM Multiples'!$C$58:$C$106,'[1]EM Multiples'!Q$58:Q$106)</f>
        <v>11.31678723752943</v>
      </c>
      <c r="AF14" s="330">
        <f>_xlfn.XLOOKUP($W14,'[1]EM Multiples'!$C$58:$C$106,'[1]EM Multiples'!R$58:R$106)</f>
        <v>10.169256092183501</v>
      </c>
      <c r="AH14" s="513">
        <f>_xlfn.XLOOKUP($W14,'[2]FCFE charts'!$B$43:$B$70,'[2]FCFE charts'!D$43:D$70)</f>
        <v>0.12661915465014123</v>
      </c>
      <c r="AI14" s="513">
        <f>_xlfn.XLOOKUP($W14,'[2]FCFE charts'!$B$43:$B$70,'[2]FCFE charts'!E$43:E$70)</f>
        <v>0.12069905282743768</v>
      </c>
      <c r="AJ14" s="513">
        <f>_xlfn.XLOOKUP($W14,'[2]FCFE charts'!$B$43:$B$70,'[2]FCFE charts'!F$43:F$70)</f>
        <v>0.15639532953030683</v>
      </c>
      <c r="AK14" s="513">
        <f>_xlfn.XLOOKUP($W14,'[2]FCFE charts'!$B$43:$B$70,'[2]FCFE charts'!G$43:G$70)</f>
        <v>0.16807440661425652</v>
      </c>
      <c r="AM14" s="521" t="s">
        <v>982</v>
      </c>
      <c r="AN14" s="527">
        <v>4.1711754092001163</v>
      </c>
      <c r="AO14" s="527">
        <v>3.8523217605028259</v>
      </c>
      <c r="AP14" s="527">
        <v>3.47674656640512</v>
      </c>
      <c r="AQ14" s="527">
        <v>3.0946288924957193</v>
      </c>
      <c r="AS14" s="521" t="s">
        <v>982</v>
      </c>
      <c r="AT14" s="527">
        <v>8.2399770288462815</v>
      </c>
      <c r="AU14" s="527">
        <v>7.8287967675838006</v>
      </c>
      <c r="AV14" s="527">
        <v>7.2605746681810777</v>
      </c>
      <c r="AW14" s="527">
        <v>6.7502036683247031</v>
      </c>
      <c r="AY14" s="521" t="s">
        <v>982</v>
      </c>
      <c r="AZ14" s="536">
        <v>0.13260769839464323</v>
      </c>
      <c r="BA14" s="536">
        <v>0.15572549541594341</v>
      </c>
      <c r="BB14" s="536">
        <v>0.16863928966944416</v>
      </c>
      <c r="BC14" s="536">
        <v>0.18124760479869412</v>
      </c>
      <c r="BJ14" s="1" t="s">
        <v>564</v>
      </c>
      <c r="BK14" s="455">
        <v>3.8962515446183161</v>
      </c>
    </row>
    <row r="15" spans="1:63" x14ac:dyDescent="0.2">
      <c r="B15" s="291" t="str" cm="1">
        <f t="array" ref="B15">_xll.FDS($C15,"FG_COMPANY_NAME")</f>
        <v>Vodafone Idea Ltd</v>
      </c>
      <c r="C15" s="103" t="s">
        <v>548</v>
      </c>
      <c r="D15" s="315" cm="1">
        <f t="array" ref="D15">_xll.FDS($C15,"FG_MKT_VALUE(0,,,USD)")</f>
        <v>8169.2515000000003</v>
      </c>
      <c r="E15" s="310" cm="1">
        <f t="array" ref="E15">_xll.FDS($C15,"FF_NET_DEBT(ANN_R,0,,,,USD,M)")</f>
        <v>26050.506535217199</v>
      </c>
      <c r="F15" s="310" cm="1">
        <f t="array" ref="F15">_xll.FDS($C15,"FG_ENT_VALUE(0,,,USD)")</f>
        <v>34219.758000000002</v>
      </c>
      <c r="G15" s="310" cm="1">
        <f t="array" ref="G15">_xll.FDS($C15,"FE_ESTIMATE(SALES,MEAN,ANN_ROLL,"&amp;G$6&amp;",0,,,'CURRENCY=USD')")</f>
        <v>5091.5923000000003</v>
      </c>
      <c r="H15" s="310" cm="1">
        <f t="array" ref="H15">_xll.FDS($C15,"FE_ESTIMATE(SALES,MEAN,ANN_ROLL,"&amp;H$6&amp;",0,,,'CURRENCY=USD')")</f>
        <v>5378.8612999999996</v>
      </c>
      <c r="I15" s="310" cm="1">
        <f t="array" ref="I15">_xll.FDS($C15,"FE_ESTIMATE(SALES,MEAN,ANN_ROLL,"&amp;I$6&amp;",0,,,'CURRENCY=USD')")</f>
        <v>6141.1909999999998</v>
      </c>
      <c r="J15" s="310" cm="1">
        <f t="array" ref="J15">_xll.FDS($C15,"FE_ESTIMATE(EBITDA,MEAN,ANN_ROLL,"&amp;J$6&amp;",0,,,'CURRENCY=USD')")</f>
        <v>2125.7797999999998</v>
      </c>
      <c r="K15" s="310" cm="1">
        <f t="array" ref="K15">_xll.FDS($C15,"FE_ESTIMATE(EBITDA,MEAN,ANN_ROLL,"&amp;K$6&amp;",0,,,'CURRENCY=USD')")</f>
        <v>2340.2602999999999</v>
      </c>
      <c r="L15" s="310" cm="1">
        <f t="array" ref="L15">_xll.FDS($C15,"FE_ESTIMATE(EBITDA,MEAN,ANN_ROLL,"&amp;L$6&amp;",0,,,'CURRENCY=USD')")</f>
        <v>2853.2498000000001</v>
      </c>
      <c r="M15" s="311">
        <f t="shared" si="9"/>
        <v>0.41750785898548864</v>
      </c>
      <c r="N15" s="311">
        <f t="shared" si="10"/>
        <v>0.43508470835639507</v>
      </c>
      <c r="O15" s="311">
        <f t="shared" si="11"/>
        <v>0.46460854254492329</v>
      </c>
      <c r="P15" s="312">
        <f t="shared" si="12"/>
        <v>6.7208362303478228</v>
      </c>
      <c r="Q15" s="312">
        <f t="shared" si="13"/>
        <v>6.3618963366837518</v>
      </c>
      <c r="R15" s="312">
        <f t="shared" si="14"/>
        <v>5.5721696328936847</v>
      </c>
      <c r="S15" s="312">
        <f t="shared" si="15"/>
        <v>16.09750831200861</v>
      </c>
      <c r="T15" s="312">
        <f t="shared" si="16"/>
        <v>14.622201641415701</v>
      </c>
      <c r="U15" s="312">
        <f t="shared" si="17"/>
        <v>11.993256952125257</v>
      </c>
      <c r="V15" s="136"/>
      <c r="W15" s="519" t="s">
        <v>983</v>
      </c>
      <c r="X15" s="520">
        <f>_xlfn.XLOOKUP($W15,'[1]EM Multiples'!$C:$C,'[1]EM Multiples'!I:I)</f>
        <v>2.6273001371650371</v>
      </c>
      <c r="Y15" s="520">
        <f>_xlfn.XLOOKUP($W15,'[1]EM Multiples'!$C:$C,'[1]EM Multiples'!J:J)</f>
        <v>2.2701564295691381</v>
      </c>
      <c r="Z15" s="520">
        <f>_xlfn.XLOOKUP($W15,'[1]EM Multiples'!$C:$C,'[1]EM Multiples'!K:K)</f>
        <v>1.8412523151909328</v>
      </c>
      <c r="AA15" s="520">
        <f>_xlfn.XLOOKUP($W15,'[1]EM Multiples'!$C:$C,'[1]EM Multiples'!L:L)</f>
        <v>1.4123704012599565</v>
      </c>
      <c r="AC15" s="330">
        <f>_xlfn.XLOOKUP($W15,'[1]EM Multiples'!$C$58:$C$106,'[1]EM Multiples'!O$58:O$106)</f>
        <v>7.5442110786749987</v>
      </c>
      <c r="AD15" s="330">
        <f>_xlfn.XLOOKUP($W15,'[1]EM Multiples'!$C$58:$C$106,'[1]EM Multiples'!P$58:P$106)</f>
        <v>7.0395851984033904</v>
      </c>
      <c r="AE15" s="330">
        <f>_xlfn.XLOOKUP($W15,'[1]EM Multiples'!$C$58:$C$106,'[1]EM Multiples'!Q$58:Q$106)</f>
        <v>6.1798344067786344</v>
      </c>
      <c r="AF15" s="330">
        <f>_xlfn.XLOOKUP($W15,'[1]EM Multiples'!$C$58:$C$106,'[1]EM Multiples'!R$58:R$106)</f>
        <v>5.4788960814781751</v>
      </c>
      <c r="AH15" s="513">
        <f>_xlfn.XLOOKUP($W15,'[2]FCFE charts'!$B$43:$B$70,'[2]FCFE charts'!D$43:D$70)</f>
        <v>6.0213026958027348E-2</v>
      </c>
      <c r="AI15" s="513">
        <f>_xlfn.XLOOKUP($W15,'[2]FCFE charts'!$B$43:$B$70,'[2]FCFE charts'!E$43:E$70)</f>
        <v>0.18650015224859237</v>
      </c>
      <c r="AJ15" s="513">
        <f>_xlfn.XLOOKUP($W15,'[2]FCFE charts'!$B$43:$B$70,'[2]FCFE charts'!F$43:F$70)</f>
        <v>0.18865358340191701</v>
      </c>
      <c r="AK15" s="513">
        <f>_xlfn.XLOOKUP($W15,'[2]FCFE charts'!$B$43:$B$70,'[2]FCFE charts'!G$43:G$70)</f>
        <v>0.21048000947219478</v>
      </c>
      <c r="AM15" s="519" t="s">
        <v>983</v>
      </c>
      <c r="AN15" s="526">
        <v>2.8383449631197259</v>
      </c>
      <c r="AO15" s="526">
        <v>2.4766513503683751</v>
      </c>
      <c r="AP15" s="526">
        <v>2.0392405393164852</v>
      </c>
      <c r="AQ15" s="526">
        <v>1.6022366829322665</v>
      </c>
      <c r="AS15" s="519" t="s">
        <v>983</v>
      </c>
      <c r="AT15" s="526">
        <v>8.2051842547522646</v>
      </c>
      <c r="AU15" s="526">
        <v>7.6563464393511209</v>
      </c>
      <c r="AV15" s="526">
        <v>6.7212700496686049</v>
      </c>
      <c r="AW15" s="526">
        <v>5.9589202094626668</v>
      </c>
      <c r="AY15" s="519" t="s">
        <v>983</v>
      </c>
      <c r="AZ15" s="535">
        <v>0.14952413750870078</v>
      </c>
      <c r="BA15" s="535">
        <v>0.16992358791534226</v>
      </c>
      <c r="BB15" s="535">
        <v>0.18859095067866508</v>
      </c>
      <c r="BC15" s="535">
        <v>0.20548705459032948</v>
      </c>
      <c r="BJ15" s="1" t="s">
        <v>570</v>
      </c>
      <c r="BK15" s="455">
        <v>3.9777582980448614</v>
      </c>
    </row>
    <row r="16" spans="1:63" x14ac:dyDescent="0.2">
      <c r="B16" s="291" t="str" cm="1">
        <f t="array" ref="B16">_xll.FDS($C16,"FG_COMPANY_NAME")</f>
        <v>PT Telkom Indonesia (Persero) Tbk Class B</v>
      </c>
      <c r="C16" s="103" t="s">
        <v>549</v>
      </c>
      <c r="D16" s="315" cm="1">
        <f t="array" ref="D16">_xll.FDS($C16,"FG_MKT_VALUE(0,,,USD)")</f>
        <v>18204.717000000001</v>
      </c>
      <c r="E16" s="310" cm="1">
        <f t="array" ref="E16">_xll.FDS($C16,"FF_NET_DEBT(ANN_R,0,,,,USD,M)")</f>
        <v>2589.4998760049898</v>
      </c>
      <c r="F16" s="310" cm="1">
        <f t="array" ref="F16">_xll.FDS($C16,"FG_ENT_VALUE(0,,,USD)")</f>
        <v>22293.105</v>
      </c>
      <c r="G16" s="310" cm="1">
        <f t="array" ref="G16">_xll.FDS($C16,"FE_ESTIMATE(SALES,MEAN,ANN_ROLL,"&amp;G$6&amp;",0,,,'CURRENCY=USD')")</f>
        <v>8915.473</v>
      </c>
      <c r="H16" s="310" cm="1">
        <f t="array" ref="H16">_xll.FDS($C16,"FE_ESTIMATE(SALES,MEAN,ANN_ROLL,"&amp;H$6&amp;",0,,,'CURRENCY=USD')")</f>
        <v>9221.1959999999999</v>
      </c>
      <c r="I16" s="310" cm="1">
        <f t="array" ref="I16">_xll.FDS($C16,"FE_ESTIMATE(SALES,MEAN,ANN_ROLL,"&amp;I$6&amp;",0,,,'CURRENCY=USD')")</f>
        <v>9483.2810000000009</v>
      </c>
      <c r="J16" s="310" cm="1">
        <f t="array" ref="J16">_xll.FDS($C16,"FE_ESTIMATE(EBITDA,MEAN,ANN_ROLL,"&amp;J$6&amp;",0,,,'CURRENCY=USD')")</f>
        <v>4465.4727000000003</v>
      </c>
      <c r="K16" s="310" cm="1">
        <f t="array" ref="K16">_xll.FDS($C16,"FE_ESTIMATE(EBITDA,MEAN,ANN_ROLL,"&amp;K$6&amp;",0,,,'CURRENCY=USD')")</f>
        <v>4606.8959999999997</v>
      </c>
      <c r="L16" s="310" cm="1">
        <f t="array" ref="L16">_xll.FDS($C16,"FE_ESTIMATE(EBITDA,MEAN,ANN_ROLL,"&amp;L$6&amp;",0,,,'CURRENCY=USD')")</f>
        <v>4766.2479999999996</v>
      </c>
      <c r="M16" s="311">
        <f t="shared" si="9"/>
        <v>0.50086772737688734</v>
      </c>
      <c r="N16" s="311">
        <f t="shared" si="10"/>
        <v>0.49959853363923723</v>
      </c>
      <c r="O16" s="311">
        <f t="shared" si="11"/>
        <v>0.50259482978517656</v>
      </c>
      <c r="P16" s="312">
        <f t="shared" si="12"/>
        <v>2.5004960477139013</v>
      </c>
      <c r="Q16" s="312">
        <f t="shared" si="13"/>
        <v>2.4175936613862237</v>
      </c>
      <c r="R16" s="312">
        <f t="shared" si="14"/>
        <v>2.350779756499886</v>
      </c>
      <c r="S16" s="312">
        <f t="shared" si="15"/>
        <v>4.9923281358320697</v>
      </c>
      <c r="T16" s="312">
        <f t="shared" si="16"/>
        <v>4.8390727726434459</v>
      </c>
      <c r="U16" s="312">
        <f t="shared" si="17"/>
        <v>4.6772859909933349</v>
      </c>
      <c r="V16" s="136"/>
      <c r="W16" s="521" t="s">
        <v>984</v>
      </c>
      <c r="X16" s="522">
        <f>_xlfn.XLOOKUP($W16,'[1]EM Multiples'!$C:$C,'[1]EM Multiples'!I:I)</f>
        <v>3.6809397248904756</v>
      </c>
      <c r="Y16" s="522">
        <f>_xlfn.XLOOKUP($W16,'[1]EM Multiples'!$C:$C,'[1]EM Multiples'!J:J)</f>
        <v>3.4394998588770296</v>
      </c>
      <c r="Z16" s="522">
        <f>_xlfn.XLOOKUP($W16,'[1]EM Multiples'!$C:$C,'[1]EM Multiples'!K:K)</f>
        <v>3.1789345090225503</v>
      </c>
      <c r="AA16" s="522">
        <f>_xlfn.XLOOKUP($W16,'[1]EM Multiples'!$C:$C,'[1]EM Multiples'!L:L)</f>
        <v>2.9181168978880327</v>
      </c>
      <c r="AC16" s="330">
        <f>_xlfn.XLOOKUP($W16,'[1]EM Multiples'!$C$58:$C$106,'[1]EM Multiples'!O$58:O$106)</f>
        <v>9.7287534258822141</v>
      </c>
      <c r="AD16" s="330">
        <f>_xlfn.XLOOKUP($W16,'[1]EM Multiples'!$C$58:$C$106,'[1]EM Multiples'!P$58:P$106)</f>
        <v>8.1997047292862604</v>
      </c>
      <c r="AE16" s="330">
        <f>_xlfn.XLOOKUP($W16,'[1]EM Multiples'!$C$58:$C$106,'[1]EM Multiples'!Q$58:Q$106)</f>
        <v>7.0290212203407805</v>
      </c>
      <c r="AF16" s="330">
        <f>_xlfn.XLOOKUP($W16,'[1]EM Multiples'!$C$58:$C$106,'[1]EM Multiples'!R$58:R$106)</f>
        <v>6.180447195848517</v>
      </c>
      <c r="AH16" s="513">
        <f>_xlfn.XLOOKUP($W16,'[2]FCFE charts'!$B$43:$B$70,'[2]FCFE charts'!D$43:D$70)</f>
        <v>0.12778664944864915</v>
      </c>
      <c r="AI16" s="513">
        <f>_xlfn.XLOOKUP($W16,'[2]FCFE charts'!$B$43:$B$70,'[2]FCFE charts'!E$43:E$70)</f>
        <v>0.11548838214437185</v>
      </c>
      <c r="AJ16" s="513">
        <f>_xlfn.XLOOKUP($W16,'[2]FCFE charts'!$B$43:$B$70,'[2]FCFE charts'!F$43:F$70)</f>
        <v>0.11792041235050967</v>
      </c>
      <c r="AK16" s="513">
        <f>_xlfn.XLOOKUP($W16,'[2]FCFE charts'!$B$43:$B$70,'[2]FCFE charts'!G$43:G$70)</f>
        <v>0.1235942348116023</v>
      </c>
      <c r="AM16" s="521" t="s">
        <v>984</v>
      </c>
      <c r="AN16" s="527">
        <v>3.5931140931621002</v>
      </c>
      <c r="AO16" s="527">
        <v>3.3512128508668466</v>
      </c>
      <c r="AP16" s="527">
        <v>3.0904427387485334</v>
      </c>
      <c r="AQ16" s="527">
        <v>2.8292332918609624</v>
      </c>
      <c r="AS16" s="521" t="s">
        <v>984</v>
      </c>
      <c r="AT16" s="527">
        <v>9.2823025891521986</v>
      </c>
      <c r="AU16" s="527">
        <v>7.7975846008355063</v>
      </c>
      <c r="AV16" s="527">
        <v>6.6769314306824352</v>
      </c>
      <c r="AW16" s="527">
        <v>5.8612171557931605</v>
      </c>
      <c r="AY16" s="521" t="s">
        <v>984</v>
      </c>
      <c r="AZ16" s="536">
        <v>0.11705380162936564</v>
      </c>
      <c r="BA16" s="536">
        <v>0.11977721668932301</v>
      </c>
      <c r="BB16" s="536">
        <v>0.12559663609305785</v>
      </c>
      <c r="BC16" s="536">
        <v>0.13284503396089173</v>
      </c>
      <c r="BJ16" s="1" t="s">
        <v>581</v>
      </c>
      <c r="BK16" s="455">
        <v>4.2771156122186946</v>
      </c>
    </row>
    <row r="17" spans="2:63" x14ac:dyDescent="0.2">
      <c r="B17" s="291" t="str" cm="1">
        <f t="array" ref="B17">_xll.FDS($C17,"FG_COMPANY_NAME")</f>
        <v>PT Indosat Tbk Class B</v>
      </c>
      <c r="C17" s="103" t="s">
        <v>550</v>
      </c>
      <c r="D17" s="315" cm="1">
        <f t="array" ref="D17">_xll.FDS($C17,"FG_MKT_VALUE(0,,,USD)")</f>
        <v>4479.8280000000004</v>
      </c>
      <c r="E17" s="310" cm="1">
        <f t="array" ref="E17">_xll.FDS($C17,"FF_NET_DEBT(ANN_R,0,,,,USD,M)")</f>
        <v>3131.05539669259</v>
      </c>
      <c r="F17" s="310" cm="1">
        <f t="array" ref="F17">_xll.FDS($C17,"FG_ENT_VALUE(0,,,USD)")</f>
        <v>7886.1415999999999</v>
      </c>
      <c r="G17" s="310" cm="1">
        <f t="array" ref="G17">_xll.FDS($C17,"FE_ESTIMATE(SALES,MEAN,ANN_ROLL,"&amp;G$6&amp;",0,,,'CURRENCY=USD')")</f>
        <v>3419.203</v>
      </c>
      <c r="H17" s="310" cm="1">
        <f t="array" ref="H17">_xll.FDS($C17,"FE_ESTIMATE(SALES,MEAN,ANN_ROLL,"&amp;H$6&amp;",0,,,'CURRENCY=USD')")</f>
        <v>3514.0864000000001</v>
      </c>
      <c r="I17" s="310" cm="1">
        <f t="array" ref="I17">_xll.FDS($C17,"FE_ESTIMATE(SALES,MEAN,ANN_ROLL,"&amp;I$6&amp;",0,,,'CURRENCY=USD')")</f>
        <v>3690.1212999999998</v>
      </c>
      <c r="J17" s="310" cm="1">
        <f t="array" ref="J17">_xll.FDS($C17,"FE_ESTIMATE(EBITDA,MEAN,ANN_ROLL,"&amp;J$6&amp;",0,,,'CURRENCY=USD')")</f>
        <v>1615.3844999999999</v>
      </c>
      <c r="K17" s="310" cm="1">
        <f t="array" ref="K17">_xll.FDS($C17,"FE_ESTIMATE(EBITDA,MEAN,ANN_ROLL,"&amp;K$6&amp;",0,,,'CURRENCY=USD')")</f>
        <v>1670.8859</v>
      </c>
      <c r="L17" s="310" cm="1">
        <f t="array" ref="L17">_xll.FDS($C17,"FE_ESTIMATE(EBITDA,MEAN,ANN_ROLL,"&amp;L$6&amp;",0,,,'CURRENCY=USD')")</f>
        <v>1770.0521000000001</v>
      </c>
      <c r="M17" s="311">
        <f>IFERROR(J17/G17,"")</f>
        <v>0.4724447480889552</v>
      </c>
      <c r="N17" s="311">
        <f t="shared" ref="N17" si="18">IFERROR(K17/H17,"")</f>
        <v>0.47548230458989282</v>
      </c>
      <c r="O17" s="311">
        <f t="shared" ref="O17" si="19">IFERROR(L17/I17,"")</f>
        <v>0.47967314787186</v>
      </c>
      <c r="P17" s="312">
        <f>IFERROR($F17/G17,"")</f>
        <v>2.3064268485960033</v>
      </c>
      <c r="Q17" s="312">
        <f t="shared" ref="Q17" si="20">IFERROR($F17/H17,"")</f>
        <v>2.2441513105653863</v>
      </c>
      <c r="R17" s="312">
        <f t="shared" ref="R17" si="21">IFERROR($F17/I17,"")</f>
        <v>2.1370954933107487</v>
      </c>
      <c r="S17" s="312">
        <f t="shared" ref="S17" si="22">IFERROR($F17/J17,"")</f>
        <v>4.8818975296593479</v>
      </c>
      <c r="T17" s="312">
        <f t="shared" ref="T17" si="23">IFERROR($F17/K17,"")</f>
        <v>4.7197367576086435</v>
      </c>
      <c r="U17" s="312">
        <f t="shared" ref="U17" si="24">IFERROR($F17/L17,"")</f>
        <v>4.4553160892834729</v>
      </c>
      <c r="V17" s="136"/>
      <c r="W17" s="519" t="s">
        <v>567</v>
      </c>
      <c r="X17" s="520">
        <f>_xlfn.XLOOKUP($W17,'[1]EM Multiples'!$C:$C,'[1]EM Multiples'!I:I)</f>
        <v>12.336023101065468</v>
      </c>
      <c r="Y17" s="520">
        <f>_xlfn.XLOOKUP($W17,'[1]EM Multiples'!$C:$C,'[1]EM Multiples'!J:J)</f>
        <v>10.167112496729041</v>
      </c>
      <c r="Z17" s="520">
        <f>_xlfn.XLOOKUP($W17,'[1]EM Multiples'!$C:$C,'[1]EM Multiples'!K:K)</f>
        <v>8.569487453501889</v>
      </c>
      <c r="AA17" s="520">
        <f>_xlfn.XLOOKUP($W17,'[1]EM Multiples'!$C:$C,'[1]EM Multiples'!L:L)</f>
        <v>7.3221036215541639</v>
      </c>
      <c r="AC17" s="330">
        <f>_xlfn.XLOOKUP($W17,'[1]EM Multiples'!$C$58:$C$106,'[1]EM Multiples'!O$58:O$106)</f>
        <v>38.320573067135157</v>
      </c>
      <c r="AD17" s="330">
        <f>_xlfn.XLOOKUP($W17,'[1]EM Multiples'!$C$58:$C$106,'[1]EM Multiples'!P$58:P$106)</f>
        <v>26.637962888226223</v>
      </c>
      <c r="AE17" s="330">
        <f>_xlfn.XLOOKUP($W17,'[1]EM Multiples'!$C$58:$C$106,'[1]EM Multiples'!Q$58:Q$106)</f>
        <v>20.690543480559509</v>
      </c>
      <c r="AF17" s="330">
        <f>_xlfn.XLOOKUP($W17,'[1]EM Multiples'!$C$58:$C$106,'[1]EM Multiples'!R$58:R$106)</f>
        <v>17.186148813199811</v>
      </c>
      <c r="AH17" s="513">
        <f>_xlfn.XLOOKUP($W17,'[2]FCFE charts'!$B$43:$B$70,'[2]FCFE charts'!D$43:D$70)</f>
        <v>4.3594780624995146E-2</v>
      </c>
      <c r="AI17" s="513">
        <f>_xlfn.XLOOKUP($W17,'[2]FCFE charts'!$B$43:$B$70,'[2]FCFE charts'!E$43:E$70)</f>
        <v>3.1080356924299366E-2</v>
      </c>
      <c r="AJ17" s="513">
        <f>_xlfn.XLOOKUP($W17,'[2]FCFE charts'!$B$43:$B$70,'[2]FCFE charts'!F$43:F$70)</f>
        <v>3.7600203972593692E-2</v>
      </c>
      <c r="AK17" s="513">
        <f>_xlfn.XLOOKUP($W17,'[2]FCFE charts'!$B$43:$B$70,'[2]FCFE charts'!G$43:G$70)</f>
        <v>4.5040127712627158E-2</v>
      </c>
      <c r="AM17" s="519" t="s">
        <v>567</v>
      </c>
      <c r="AN17" s="526">
        <v>11.640731120127402</v>
      </c>
      <c r="AO17" s="526">
        <v>9.5724552294753504</v>
      </c>
      <c r="AP17" s="526">
        <v>8.0354756510957799</v>
      </c>
      <c r="AQ17" s="526">
        <v>6.8331034020644736</v>
      </c>
      <c r="AS17" s="519" t="s">
        <v>567</v>
      </c>
      <c r="AT17" s="526">
        <v>35.35602111737132</v>
      </c>
      <c r="AU17" s="526">
        <v>24.636731903094738</v>
      </c>
      <c r="AV17" s="526">
        <v>19.18026239713565</v>
      </c>
      <c r="AW17" s="526">
        <v>15.914109890863989</v>
      </c>
      <c r="AY17" s="519" t="s">
        <v>567</v>
      </c>
      <c r="AZ17" s="535">
        <v>3.6283733108863535E-2</v>
      </c>
      <c r="BA17" s="535">
        <v>4.6925679034016135E-2</v>
      </c>
      <c r="BB17" s="535">
        <v>5.5699237836035281E-2</v>
      </c>
      <c r="BC17" s="535">
        <v>6.405520917564099E-2</v>
      </c>
      <c r="BJ17" s="1" t="s">
        <v>586</v>
      </c>
      <c r="BK17" s="455">
        <v>4.3908166502734147</v>
      </c>
    </row>
    <row r="18" spans="2:63" x14ac:dyDescent="0.2">
      <c r="B18" s="291" t="str" cm="1">
        <f t="array" ref="B18">_xll.FDS($C18,"FG_COMPANY_NAME")</f>
        <v>PT XLSMART Telecom Sejahtera Tbk</v>
      </c>
      <c r="C18" s="103" t="s">
        <v>551</v>
      </c>
      <c r="D18" s="315" cm="1">
        <f t="array" ref="D18">_xll.FDS($C18,"FG_MKT_VALUE(0,,,USD)")</f>
        <v>3010.8917999999999</v>
      </c>
      <c r="E18" s="310" cm="1">
        <f t="array" ref="E18">_xll.FDS($C18,"FF_NET_DEBT(ANN_R,0,,,,USD,M)")</f>
        <v>2777.33529300286</v>
      </c>
      <c r="F18" s="310" cm="1">
        <f t="array" ref="F18">_xll.FDS($C18,"FG_ENT_VALUE(0,,,USD)")</f>
        <v>5639.85</v>
      </c>
      <c r="G18" s="310" cm="1">
        <f t="array" ref="G18">_xll.FDS($C18,"FE_ESTIMATE(SALES,MEAN,ANN_ROLL,"&amp;G$6&amp;",0,,,'CURRENCY=USD')")</f>
        <v>2121.5037000000002</v>
      </c>
      <c r="H18" s="310" cm="1">
        <f t="array" ref="H18">_xll.FDS($C18,"FE_ESTIMATE(SALES,MEAN,ANN_ROLL,"&amp;H$6&amp;",0,,,'CURRENCY=USD')")</f>
        <v>2778.6855</v>
      </c>
      <c r="I18" s="310" cm="1">
        <f t="array" ref="I18">_xll.FDS($C18,"FE_ESTIMATE(SALES,MEAN,ANN_ROLL,"&amp;I$6&amp;",0,,,'CURRENCY=USD')")</f>
        <v>2968.1055000000001</v>
      </c>
      <c r="J18" s="310" cm="1">
        <f t="array" ref="J18">_xll.FDS($C18,"FE_ESTIMATE(EBITDA,MEAN,ANN_ROLL,"&amp;J$6&amp;",0,,,'CURRENCY=USD')")</f>
        <v>1097.8724</v>
      </c>
      <c r="K18" s="310" cm="1">
        <f t="array" ref="K18">_xll.FDS($C18,"FE_ESTIMATE(EBITDA,MEAN,ANN_ROLL,"&amp;K$6&amp;",0,,,'CURRENCY=USD')")</f>
        <v>1330.5345</v>
      </c>
      <c r="L18" s="310" cm="1">
        <f t="array" ref="L18">_xll.FDS($C18,"FE_ESTIMATE(EBITDA,MEAN,ANN_ROLL,"&amp;L$6&amp;",0,,,'CURRENCY=USD')")</f>
        <v>1478.2474</v>
      </c>
      <c r="M18" s="311">
        <f t="shared" ref="M18:M23" si="25">IFERROR(J18/G18,"")</f>
        <v>0.5174972827056582</v>
      </c>
      <c r="N18" s="311">
        <f t="shared" ref="N18:N23" si="26">IFERROR(K18/H18,"")</f>
        <v>0.47883594598956952</v>
      </c>
      <c r="O18" s="311">
        <f t="shared" ref="O18:O23" si="27">IFERROR(L18/I18,"")</f>
        <v>0.49804408906624104</v>
      </c>
      <c r="P18" s="312">
        <f t="shared" ref="P18:P23" si="28">IFERROR($F18/G18,"")</f>
        <v>2.6584210058177131</v>
      </c>
      <c r="Q18" s="312">
        <f t="shared" ref="Q18:Q23" si="29">IFERROR($F18/H18,"")</f>
        <v>2.0296827402741333</v>
      </c>
      <c r="R18" s="312">
        <f t="shared" ref="R18:R23" si="30">IFERROR($F18/I18,"")</f>
        <v>1.9001514602496441</v>
      </c>
      <c r="S18" s="312">
        <f t="shared" ref="S18:S23" si="31">IFERROR($F18/J18,"")</f>
        <v>5.1370723956627389</v>
      </c>
      <c r="T18" s="312">
        <f t="shared" ref="T18:T23" si="32">IFERROR($F18/K18,"")</f>
        <v>4.238785240067056</v>
      </c>
      <c r="U18" s="312">
        <f t="shared" ref="U18:U23" si="33">IFERROR($F18/L18,"")</f>
        <v>3.815227410513288</v>
      </c>
      <c r="V18" s="136"/>
      <c r="W18" s="521" t="s">
        <v>568</v>
      </c>
      <c r="X18" s="522">
        <f>_xlfn.XLOOKUP($W18,'[1]EM Multiples'!$C:$C,'[1]EM Multiples'!I:I)</f>
        <v>15.296953679605446</v>
      </c>
      <c r="Y18" s="522">
        <f>_xlfn.XLOOKUP($W18,'[1]EM Multiples'!$C:$C,'[1]EM Multiples'!J:J)</f>
        <v>14.977532546192261</v>
      </c>
      <c r="Z18" s="522">
        <f>_xlfn.XLOOKUP($W18,'[1]EM Multiples'!$C:$C,'[1]EM Multiples'!K:K)</f>
        <v>15.202111154316164</v>
      </c>
      <c r="AA18" s="522">
        <f>_xlfn.XLOOKUP($W18,'[1]EM Multiples'!$C:$C,'[1]EM Multiples'!L:L)</f>
        <v>15.701027826257615</v>
      </c>
      <c r="AC18" s="511" t="s">
        <v>980</v>
      </c>
      <c r="AD18" s="511" t="s">
        <v>980</v>
      </c>
      <c r="AE18" s="511" t="s">
        <v>980</v>
      </c>
      <c r="AF18" s="511" t="s">
        <v>980</v>
      </c>
      <c r="AH18" s="513">
        <f>_xlfn.XLOOKUP($W18,'[2]FCFE charts'!$B$43:$B$70,'[2]FCFE charts'!D$43:D$70)</f>
        <v>0</v>
      </c>
      <c r="AI18" s="513">
        <f>_xlfn.XLOOKUP($W18,'[2]FCFE charts'!$B$43:$B$70,'[2]FCFE charts'!E$43:E$70)</f>
        <v>0</v>
      </c>
      <c r="AJ18" s="513">
        <f>_xlfn.XLOOKUP($W18,'[2]FCFE charts'!$B$43:$B$70,'[2]FCFE charts'!F$43:F$70)</f>
        <v>0</v>
      </c>
      <c r="AK18" s="513">
        <f>_xlfn.XLOOKUP($W18,'[2]FCFE charts'!$B$43:$B$70,'[2]FCFE charts'!G$43:G$70)</f>
        <v>0</v>
      </c>
      <c r="AM18" s="521" t="s">
        <v>568</v>
      </c>
      <c r="AN18" s="527">
        <v>13.854133693306196</v>
      </c>
      <c r="AO18" s="527">
        <v>12.879879183951221</v>
      </c>
      <c r="AP18" s="527">
        <v>12.323130043778558</v>
      </c>
      <c r="AQ18" s="527">
        <v>12.070520609204516</v>
      </c>
      <c r="AS18" s="521" t="s">
        <v>568</v>
      </c>
      <c r="AT18" s="532" t="s">
        <v>980</v>
      </c>
      <c r="AU18" s="532" t="s">
        <v>980</v>
      </c>
      <c r="AV18" s="532" t="s">
        <v>980</v>
      </c>
      <c r="AW18" s="532" t="s">
        <v>980</v>
      </c>
      <c r="AY18" s="521" t="s">
        <v>568</v>
      </c>
      <c r="AZ18" s="537" t="s">
        <v>980</v>
      </c>
      <c r="BA18" s="537" t="s">
        <v>980</v>
      </c>
      <c r="BB18" s="537" t="s">
        <v>980</v>
      </c>
      <c r="BC18" s="537" t="s">
        <v>980</v>
      </c>
      <c r="BJ18" s="1" t="s">
        <v>574</v>
      </c>
      <c r="BK18" s="455">
        <v>4.8277852096078844</v>
      </c>
    </row>
    <row r="19" spans="2:63" x14ac:dyDescent="0.2">
      <c r="B19" s="291" t="str" cm="1">
        <f t="array" ref="B19">_xll.FDS($C19,"FG_COMPANY_NAME")</f>
        <v>Maxis Bhd.</v>
      </c>
      <c r="C19" s="103" t="s">
        <v>552</v>
      </c>
      <c r="D19" s="315" cm="1">
        <f t="array" ref="D19">_xll.FDS($C19,"FG_MKT_VALUE(0,,,USD)")</f>
        <v>6385.0303000000004</v>
      </c>
      <c r="E19" s="310" cm="1">
        <f t="array" ref="E19">_xll.FDS($C19,"FF_NET_DEBT(ANN_R,0,,,,USD,M)")</f>
        <v>1973.61072488129</v>
      </c>
      <c r="F19" s="310" cm="1">
        <f t="array" ref="F19">_xll.FDS($C19,"FG_ENT_VALUE(0,,,USD)")</f>
        <v>8325.7630000000008</v>
      </c>
      <c r="G19" s="310" cm="1">
        <f t="array" ref="G19">_xll.FDS($C19,"FE_ESTIMATE(SALES,MEAN,ANN_ROLL,"&amp;G$6&amp;",0,,,'CURRENCY=USD')")</f>
        <v>2372.7363</v>
      </c>
      <c r="H19" s="310" cm="1">
        <f t="array" ref="H19">_xll.FDS($C19,"FE_ESTIMATE(SALES,MEAN,ANN_ROLL,"&amp;H$6&amp;",0,,,'CURRENCY=USD')")</f>
        <v>2530.6296000000002</v>
      </c>
      <c r="I19" s="310" cm="1">
        <f t="array" ref="I19">_xll.FDS($C19,"FE_ESTIMATE(SALES,MEAN,ANN_ROLL,"&amp;I$6&amp;",0,,,'CURRENCY=USD')")</f>
        <v>2600.7368000000001</v>
      </c>
      <c r="J19" s="310" cm="1">
        <f t="array" ref="J19">_xll.FDS($C19,"FE_ESTIMATE(EBITDA,MEAN,ANN_ROLL,"&amp;J$6&amp;",0,,,'CURRENCY=USD')")</f>
        <v>928.01116999999999</v>
      </c>
      <c r="K19" s="310" cm="1">
        <f t="array" ref="K19">_xll.FDS($C19,"FE_ESTIMATE(EBITDA,MEAN,ANN_ROLL,"&amp;K$6&amp;",0,,,'CURRENCY=USD')")</f>
        <v>988.99976000000004</v>
      </c>
      <c r="L19" s="310" cm="1">
        <f t="array" ref="L19">_xll.FDS($C19,"FE_ESTIMATE(EBITDA,MEAN,ANN_ROLL,"&amp;L$6&amp;",0,,,'CURRENCY=USD')")</f>
        <v>1009.10077</v>
      </c>
      <c r="M19" s="311">
        <f t="shared" si="25"/>
        <v>0.39111433074126273</v>
      </c>
      <c r="N19" s="311">
        <f t="shared" si="26"/>
        <v>0.39081174107818861</v>
      </c>
      <c r="O19" s="311">
        <f t="shared" si="27"/>
        <v>0.38800572591582505</v>
      </c>
      <c r="P19" s="312">
        <f t="shared" si="28"/>
        <v>3.5089289104735326</v>
      </c>
      <c r="Q19" s="312">
        <f t="shared" si="29"/>
        <v>3.2899966869904627</v>
      </c>
      <c r="R19" s="312">
        <f t="shared" si="30"/>
        <v>3.201309336646446</v>
      </c>
      <c r="S19" s="312">
        <f t="shared" si="31"/>
        <v>8.9716193825554935</v>
      </c>
      <c r="T19" s="312">
        <f t="shared" si="32"/>
        <v>8.4183670580466075</v>
      </c>
      <c r="U19" s="312">
        <f t="shared" si="33"/>
        <v>8.2506754999304981</v>
      </c>
      <c r="V19" s="136"/>
      <c r="W19" s="519" t="s">
        <v>569</v>
      </c>
      <c r="X19" s="520">
        <f>_xlfn.XLOOKUP($W19,'[1]EM Multiples'!$C:$C,'[1]EM Multiples'!I:I)</f>
        <v>7.766220650864252</v>
      </c>
      <c r="Y19" s="520">
        <f>_xlfn.XLOOKUP($W19,'[1]EM Multiples'!$C:$C,'[1]EM Multiples'!J:J)</f>
        <v>7.2898779030241414</v>
      </c>
      <c r="Z19" s="520">
        <f>_xlfn.XLOOKUP($W19,'[1]EM Multiples'!$C:$C,'[1]EM Multiples'!K:K)</f>
        <v>6.7584327123491619</v>
      </c>
      <c r="AA19" s="520">
        <f>_xlfn.XLOOKUP($W19,'[1]EM Multiples'!$C:$C,'[1]EM Multiples'!L:L)</f>
        <v>6.2421319148439274</v>
      </c>
      <c r="AC19" s="330">
        <f>_xlfn.XLOOKUP($W19,'[1]EM Multiples'!$C$58:$C$106,'[1]EM Multiples'!O$58:O$106)</f>
        <v>14.629366441750754</v>
      </c>
      <c r="AD19" s="330">
        <f>_xlfn.XLOOKUP($W19,'[1]EM Multiples'!$C$58:$C$106,'[1]EM Multiples'!P$58:P$106)</f>
        <v>14.325266411793192</v>
      </c>
      <c r="AE19" s="330">
        <f>_xlfn.XLOOKUP($W19,'[1]EM Multiples'!$C$58:$C$106,'[1]EM Multiples'!Q$58:Q$106)</f>
        <v>13.726176377534077</v>
      </c>
      <c r="AF19" s="330">
        <f>_xlfn.XLOOKUP($W19,'[1]EM Multiples'!$C$58:$C$106,'[1]EM Multiples'!R$58:R$106)</f>
        <v>12.90943235456346</v>
      </c>
      <c r="AH19" s="513">
        <f>_xlfn.XLOOKUP($W19,'[2]FCFE charts'!$B$43:$B$70,'[2]FCFE charts'!D$43:D$70)</f>
        <v>6.0509695312289752E-2</v>
      </c>
      <c r="AI19" s="513">
        <f>_xlfn.XLOOKUP($W19,'[2]FCFE charts'!$B$43:$B$70,'[2]FCFE charts'!E$43:E$70)</f>
        <v>5.0033473698156583E-2</v>
      </c>
      <c r="AJ19" s="513">
        <f>_xlfn.XLOOKUP($W19,'[2]FCFE charts'!$B$43:$B$70,'[2]FCFE charts'!F$43:F$70)</f>
        <v>4.7783170011816284E-2</v>
      </c>
      <c r="AK19" s="513">
        <f>_xlfn.XLOOKUP($W19,'[2]FCFE charts'!$B$43:$B$70,'[2]FCFE charts'!G$43:G$70)</f>
        <v>4.8827365726723061E-2</v>
      </c>
      <c r="AM19" s="519" t="s">
        <v>569</v>
      </c>
      <c r="AN19" s="526">
        <v>6.9775092712589801</v>
      </c>
      <c r="AO19" s="526">
        <v>6.5963370987516026</v>
      </c>
      <c r="AP19" s="526">
        <v>6.1439672272476642</v>
      </c>
      <c r="AQ19" s="526">
        <v>5.7007652652951766</v>
      </c>
      <c r="AS19" s="519" t="s">
        <v>569</v>
      </c>
      <c r="AT19" s="526">
        <v>12.578394841576744</v>
      </c>
      <c r="AU19" s="526">
        <v>12.528594489922538</v>
      </c>
      <c r="AV19" s="526">
        <v>12.181177262571975</v>
      </c>
      <c r="AW19" s="526">
        <v>11.61314582620976</v>
      </c>
      <c r="AY19" s="519" t="s">
        <v>569</v>
      </c>
      <c r="AZ19" s="535">
        <v>6.2449220229754125E-2</v>
      </c>
      <c r="BA19" s="535">
        <v>5.5495560727394241E-2</v>
      </c>
      <c r="BB19" s="535">
        <v>5.588096976270502E-2</v>
      </c>
      <c r="BC19" s="535">
        <v>5.6812596492998614E-2</v>
      </c>
      <c r="BJ19" s="1" t="s">
        <v>582</v>
      </c>
      <c r="BK19" s="455">
        <v>4.8754735366407873</v>
      </c>
    </row>
    <row r="20" spans="2:63" x14ac:dyDescent="0.2">
      <c r="B20" s="291" t="str" cm="1">
        <f t="array" ref="B20">_xll.FDS($C20,"FG_COMPANY_NAME")</f>
        <v>CelcomDigi Berhad</v>
      </c>
      <c r="C20" s="103" t="s">
        <v>553</v>
      </c>
      <c r="D20" s="315" cm="1">
        <f t="array" ref="D20">_xll.FDS($C20,"FG_MKT_VALUE(0,,,USD)")</f>
        <v>10502.512000000001</v>
      </c>
      <c r="E20" s="310" cm="1">
        <f t="array" ref="E20">_xll.FDS($C20,"FF_NET_DEBT(ANN_R,0,,,,USD,M)")</f>
        <v>2866.03008328749</v>
      </c>
      <c r="F20" s="310" cm="1">
        <f t="array" ref="F20">_xll.FDS($C20,"FG_ENT_VALUE(0,,,USD)")</f>
        <v>13393.022999999999</v>
      </c>
      <c r="G20" s="310" cm="1">
        <f t="array" ref="G20">_xll.FDS($C20,"FE_ESTIMATE(SALES,MEAN,ANN_ROLL,"&amp;G$6&amp;",0,,,'CURRENCY=USD')")</f>
        <v>2846.105</v>
      </c>
      <c r="H20" s="310" cm="1">
        <f t="array" ref="H20">_xll.FDS($C20,"FE_ESTIMATE(SALES,MEAN,ANN_ROLL,"&amp;H$6&amp;",0,,,'CURRENCY=USD')")</f>
        <v>3044.7854000000002</v>
      </c>
      <c r="I20" s="310" cm="1">
        <f t="array" ref="I20">_xll.FDS($C20,"FE_ESTIMATE(SALES,MEAN,ANN_ROLL,"&amp;I$6&amp;",0,,,'CURRENCY=USD')")</f>
        <v>3092.7444</v>
      </c>
      <c r="J20" s="310" cm="1">
        <f t="array" ref="J20">_xll.FDS($C20,"FE_ESTIMATE(EBITDA,MEAN,ANN_ROLL,"&amp;J$6&amp;",0,,,'CURRENCY=USD')")</f>
        <v>1306.4707000000001</v>
      </c>
      <c r="K20" s="310" cm="1">
        <f t="array" ref="K20">_xll.FDS($C20,"FE_ESTIMATE(EBITDA,MEAN,ANN_ROLL,"&amp;K$6&amp;",0,,,'CURRENCY=USD')")</f>
        <v>1402.4673</v>
      </c>
      <c r="L20" s="310" cm="1">
        <f t="array" ref="L20">_xll.FDS($C20,"FE_ESTIMATE(EBITDA,MEAN,ANN_ROLL,"&amp;L$6&amp;",0,,,'CURRENCY=USD')")</f>
        <v>1438.0269000000001</v>
      </c>
      <c r="M20" s="311">
        <f t="shared" si="25"/>
        <v>0.45903812403266925</v>
      </c>
      <c r="N20" s="311">
        <f t="shared" si="26"/>
        <v>0.46061285632806831</v>
      </c>
      <c r="O20" s="311">
        <f t="shared" si="27"/>
        <v>0.46496791005425475</v>
      </c>
      <c r="P20" s="312">
        <f t="shared" si="28"/>
        <v>4.7057374903596312</v>
      </c>
      <c r="Q20" s="312">
        <f t="shared" si="29"/>
        <v>4.3986755191351081</v>
      </c>
      <c r="R20" s="312">
        <f t="shared" si="30"/>
        <v>4.3304655244060903</v>
      </c>
      <c r="S20" s="312">
        <f t="shared" si="31"/>
        <v>10.251299933477267</v>
      </c>
      <c r="T20" s="312">
        <f t="shared" si="32"/>
        <v>9.5496151674980219</v>
      </c>
      <c r="U20" s="312">
        <f t="shared" si="33"/>
        <v>9.3134718133575927</v>
      </c>
      <c r="V20" s="136"/>
      <c r="W20" s="521" t="s">
        <v>570</v>
      </c>
      <c r="X20" s="522">
        <f>_xlfn.XLOOKUP($W20,'[1]EM Multiples'!$C:$C,'[1]EM Multiples'!I:I)</f>
        <v>4.0804974309330557</v>
      </c>
      <c r="Y20" s="522">
        <f>_xlfn.XLOOKUP($W20,'[1]EM Multiples'!$C:$C,'[1]EM Multiples'!J:J)</f>
        <v>3.9640237996402381</v>
      </c>
      <c r="Z20" s="522">
        <f>_xlfn.XLOOKUP($W20,'[1]EM Multiples'!$C:$C,'[1]EM Multiples'!K:K)</f>
        <v>3.5530864197530865</v>
      </c>
      <c r="AA20" s="522">
        <f>_xlfn.XLOOKUP($W20,'[1]EM Multiples'!$C:$C,'[1]EM Multiples'!L:L)</f>
        <v>3.1683232100128844</v>
      </c>
      <c r="AC20" s="330">
        <f>_xlfn.XLOOKUP($W20,'[1]EM Multiples'!$C$58:$C$106,'[1]EM Multiples'!O$58:O$106)</f>
        <v>12.012578616352201</v>
      </c>
      <c r="AD20" s="330">
        <f>_xlfn.XLOOKUP($W20,'[1]EM Multiples'!$C$58:$C$106,'[1]EM Multiples'!P$58:P$106)</f>
        <v>10.419365837026936</v>
      </c>
      <c r="AE20" s="330">
        <f>_xlfn.XLOOKUP($W20,'[1]EM Multiples'!$C$58:$C$106,'[1]EM Multiples'!Q$58:Q$106)</f>
        <v>9.0253987005315999</v>
      </c>
      <c r="AF20" s="330">
        <f>_xlfn.XLOOKUP($W20,'[1]EM Multiples'!$C$58:$C$106,'[1]EM Multiples'!R$58:R$106)</f>
        <v>7.7474965141336041</v>
      </c>
      <c r="AH20" s="513">
        <f>_xlfn.XLOOKUP($W20,'[2]FCFE charts'!$B$43:$B$70,'[2]FCFE charts'!D$43:D$70)</f>
        <v>1.9542349654485095E-2</v>
      </c>
      <c r="AI20" s="513">
        <f>_xlfn.XLOOKUP($W20,'[2]FCFE charts'!$B$43:$B$70,'[2]FCFE charts'!E$43:E$70)</f>
        <v>3.1404508191707134E-2</v>
      </c>
      <c r="AJ20" s="513">
        <f>_xlfn.XLOOKUP($W20,'[2]FCFE charts'!$B$43:$B$70,'[2]FCFE charts'!F$43:F$70)</f>
        <v>5.8658850997067143E-2</v>
      </c>
      <c r="AK20" s="513">
        <f>_xlfn.XLOOKUP($W20,'[2]FCFE charts'!$B$43:$B$70,'[2]FCFE charts'!G$43:G$70)</f>
        <v>6.9169423105785333E-2</v>
      </c>
      <c r="AM20" s="521" t="s">
        <v>570</v>
      </c>
      <c r="AN20" s="527">
        <v>4.2028213573401647</v>
      </c>
      <c r="AO20" s="527">
        <v>4.0656590037566369</v>
      </c>
      <c r="AP20" s="527">
        <v>3.6526461125700362</v>
      </c>
      <c r="AQ20" s="527">
        <v>3.2658641186946844</v>
      </c>
      <c r="AS20" s="521" t="s">
        <v>570</v>
      </c>
      <c r="AT20" s="527">
        <v>11.46072688091113</v>
      </c>
      <c r="AU20" s="527">
        <v>10.176297987831155</v>
      </c>
      <c r="AV20" s="527">
        <v>9.2244149754720279</v>
      </c>
      <c r="AW20" s="527">
        <v>8.2088446799067718</v>
      </c>
      <c r="AY20" s="521" t="s">
        <v>570</v>
      </c>
      <c r="AZ20" s="536">
        <v>5.1894083718776317E-2</v>
      </c>
      <c r="BA20" s="536">
        <v>5.547627646774194E-2</v>
      </c>
      <c r="BB20" s="536">
        <v>6.575182018564546E-2</v>
      </c>
      <c r="BC20" s="536">
        <v>7.7450253920297557E-2</v>
      </c>
      <c r="BJ20" s="1" t="s">
        <v>579</v>
      </c>
      <c r="BK20" s="455">
        <v>5.3351485160376546</v>
      </c>
    </row>
    <row r="21" spans="2:63" x14ac:dyDescent="0.2">
      <c r="B21" s="291" t="str" cm="1">
        <f t="array" ref="B21">_xll.FDS($C21,"FG_COMPANY_NAME")</f>
        <v>Axiata Group Bhd.</v>
      </c>
      <c r="C21" s="103" t="s">
        <v>554</v>
      </c>
      <c r="D21" s="315" cm="1">
        <f t="array" ref="D21">_xll.FDS($C21,"FG_MKT_VALUE(0,,,USD)")</f>
        <v>5684.6415999999999</v>
      </c>
      <c r="E21" s="310" cm="1">
        <f t="array" ref="E21">_xll.FDS($C21,"FF_NET_DEBT(ANN_R,0,,,,USD,M)")</f>
        <v>6567.2557722514703</v>
      </c>
      <c r="F21" s="310" cm="1">
        <f t="array" ref="F21">_xll.FDS($C21,"FG_ENT_VALUE(0,,,USD)")</f>
        <v>13440.718000000001</v>
      </c>
      <c r="G21" s="310" cm="1">
        <f t="array" ref="G21">_xll.FDS($C21,"FE_ESTIMATE(SALES,MEAN,ANN_ROLL,"&amp;G$6&amp;",0,,,'CURRENCY=USD')")</f>
        <v>5042.8125</v>
      </c>
      <c r="H21" s="310" cm="1">
        <f t="array" ref="H21">_xll.FDS($C21,"FE_ESTIMATE(SALES,MEAN,ANN_ROLL,"&amp;H$6&amp;",0,,,'CURRENCY=USD')")</f>
        <v>3717.0922999999998</v>
      </c>
      <c r="I21" s="310" cm="1">
        <f t="array" ref="I21">_xll.FDS($C21,"FE_ESTIMATE(SALES,MEAN,ANN_ROLL,"&amp;I$6&amp;",0,,,'CURRENCY=USD')")</f>
        <v>3181.5569999999998</v>
      </c>
      <c r="J21" s="310" cm="1">
        <f t="array" ref="J21">_xll.FDS($C21,"FE_ESTIMATE(EBITDA,MEAN,ANN_ROLL,"&amp;J$6&amp;",0,,,'CURRENCY=USD')")</f>
        <v>2467.7102</v>
      </c>
      <c r="K21" s="310" cm="1">
        <f t="array" ref="K21">_xll.FDS($C21,"FE_ESTIMATE(EBITDA,MEAN,ANN_ROLL,"&amp;K$6&amp;",0,,,'CURRENCY=USD')")</f>
        <v>1707.6757</v>
      </c>
      <c r="L21" s="310" cm="1">
        <f t="array" ref="L21">_xll.FDS($C21,"FE_ESTIMATE(EBITDA,MEAN,ANN_ROLL,"&amp;L$6&amp;",0,,,'CURRENCY=USD')")</f>
        <v>1463.3626999999999</v>
      </c>
      <c r="M21" s="311">
        <f t="shared" si="25"/>
        <v>0.48935196380987794</v>
      </c>
      <c r="N21" s="311">
        <f t="shared" si="26"/>
        <v>0.45941170199082765</v>
      </c>
      <c r="O21" s="311">
        <f t="shared" si="27"/>
        <v>0.45995174689625234</v>
      </c>
      <c r="P21" s="312">
        <f t="shared" si="28"/>
        <v>2.6653217822395736</v>
      </c>
      <c r="Q21" s="312">
        <f t="shared" si="29"/>
        <v>3.6159225855112616</v>
      </c>
      <c r="R21" s="312">
        <f t="shared" si="30"/>
        <v>4.2245724341886701</v>
      </c>
      <c r="S21" s="312">
        <f t="shared" si="31"/>
        <v>5.4466355084969056</v>
      </c>
      <c r="T21" s="312">
        <f t="shared" si="32"/>
        <v>7.8707672657050756</v>
      </c>
      <c r="U21" s="312">
        <f t="shared" si="33"/>
        <v>9.1848165871659848</v>
      </c>
      <c r="V21" s="136"/>
      <c r="W21" s="519" t="s">
        <v>571</v>
      </c>
      <c r="X21" s="520">
        <f>_xlfn.XLOOKUP($W21,'[1]EM Multiples'!$C:$C,'[1]EM Multiples'!I:I)</f>
        <v>6.2318674172790827</v>
      </c>
      <c r="Y21" s="520">
        <f>_xlfn.XLOOKUP($W21,'[1]EM Multiples'!$C:$C,'[1]EM Multiples'!J:J)</f>
        <v>5.1091981231128392</v>
      </c>
      <c r="Z21" s="520">
        <f>_xlfn.XLOOKUP($W21,'[1]EM Multiples'!$C:$C,'[1]EM Multiples'!K:K)</f>
        <v>4.4795519371737349</v>
      </c>
      <c r="AA21" s="520">
        <f>_xlfn.XLOOKUP($W21,'[1]EM Multiples'!$C:$C,'[1]EM Multiples'!L:L)</f>
        <v>3.8928711540732466</v>
      </c>
      <c r="AC21" s="330">
        <f>_xlfn.XLOOKUP($W21,'[1]EM Multiples'!$C$58:$C$106,'[1]EM Multiples'!O$58:O$106)</f>
        <v>36.439516691471376</v>
      </c>
      <c r="AD21" s="330">
        <f>_xlfn.XLOOKUP($W21,'[1]EM Multiples'!$C$58:$C$106,'[1]EM Multiples'!P$58:P$106)</f>
        <v>25.514843132607915</v>
      </c>
      <c r="AE21" s="330">
        <f>_xlfn.XLOOKUP($W21,'[1]EM Multiples'!$C$58:$C$106,'[1]EM Multiples'!Q$58:Q$106)</f>
        <v>15.004739000940258</v>
      </c>
      <c r="AF21" s="330">
        <f>_xlfn.XLOOKUP($W21,'[1]EM Multiples'!$C$58:$C$106,'[1]EM Multiples'!R$58:R$106)</f>
        <v>10.160988226922695</v>
      </c>
      <c r="AH21" s="514">
        <v>2.3046920805349664E-2</v>
      </c>
      <c r="AI21" s="514">
        <v>1.2451730177484714E-2</v>
      </c>
      <c r="AJ21" s="514">
        <v>4.2356844172266483E-2</v>
      </c>
      <c r="AK21" s="514">
        <v>9.1623570432885146E-2</v>
      </c>
      <c r="AM21" s="519" t="s">
        <v>571</v>
      </c>
      <c r="AN21" s="526">
        <v>4.0870155986738412</v>
      </c>
      <c r="AO21" s="526">
        <v>3.8192230549984165</v>
      </c>
      <c r="AP21" s="526">
        <v>3.553192579686379</v>
      </c>
      <c r="AQ21" s="526">
        <v>3.2611962432031638</v>
      </c>
      <c r="AS21" s="519" t="s">
        <v>571</v>
      </c>
      <c r="AT21" s="526">
        <v>14.320289238621863</v>
      </c>
      <c r="AU21" s="526">
        <v>11.397088693297224</v>
      </c>
      <c r="AV21" s="526">
        <v>9.7079008073817761</v>
      </c>
      <c r="AW21" s="526">
        <v>8.3334158415841593</v>
      </c>
      <c r="AY21" s="519" t="s">
        <v>571</v>
      </c>
      <c r="AZ21" s="535">
        <v>2.3046920805349664E-2</v>
      </c>
      <c r="BA21" s="535">
        <v>1.2451730177484714E-2</v>
      </c>
      <c r="BB21" s="535">
        <v>4.2356844172266483E-2</v>
      </c>
      <c r="BC21" s="535">
        <v>9.1623570432885146E-2</v>
      </c>
      <c r="BJ21" s="1" t="s">
        <v>583</v>
      </c>
      <c r="BK21" s="455">
        <v>5.7004130847548629</v>
      </c>
    </row>
    <row r="22" spans="2:63" x14ac:dyDescent="0.2">
      <c r="B22" s="291" t="str" cm="1">
        <f t="array" ref="B22">_xll.FDS($C22,"FG_COMPANY_NAME")</f>
        <v>Advanced Info Service Public Co., Ltd.</v>
      </c>
      <c r="C22" s="103" t="s">
        <v>555</v>
      </c>
      <c r="D22" s="315" cm="1">
        <f t="array" ref="D22">_xll.FDS($C22,"FG_MKT_VALUE(0,,,USD)")</f>
        <v>27322.620999999999</v>
      </c>
      <c r="E22" s="310" cm="1">
        <f t="array" ref="E22">_xll.FDS($C22,"FF_NET_DEBT(ANN_R,0,,,,USD,M)")</f>
        <v>7139.0780525046603</v>
      </c>
      <c r="F22" s="310" cm="1">
        <f t="array" ref="F22">_xll.FDS($C22,"FG_ENT_VALUE(0,,,USD)")</f>
        <v>34195.57</v>
      </c>
      <c r="G22" s="310" cm="1">
        <f t="array" ref="G22">_xll.FDS($C22,"FE_ESTIMATE(SALES,MEAN,ANN_ROLL,"&amp;G$6&amp;",0,,,'CURRENCY=USD')")</f>
        <v>6346.7803000000004</v>
      </c>
      <c r="H22" s="310" cm="1">
        <f t="array" ref="H22">_xll.FDS($C22,"FE_ESTIMATE(SALES,MEAN,ANN_ROLL,"&amp;H$6&amp;",0,,,'CURRENCY=USD')")</f>
        <v>6893.7847000000002</v>
      </c>
      <c r="I22" s="310" cm="1">
        <f t="array" ref="I22">_xll.FDS($C22,"FE_ESTIMATE(SALES,MEAN,ANN_ROLL,"&amp;I$6&amp;",0,,,'CURRENCY=USD')")</f>
        <v>7080.0137000000004</v>
      </c>
      <c r="J22" s="310" cm="1">
        <f t="array" ref="J22">_xll.FDS($C22,"FE_ESTIMATE(EBITDA,MEAN,ANN_ROLL,"&amp;J$6&amp;",0,,,'CURRENCY=USD')")</f>
        <v>3322.9769999999999</v>
      </c>
      <c r="K22" s="310" cm="1">
        <f t="array" ref="K22">_xll.FDS($C22,"FE_ESTIMATE(EBITDA,MEAN,ANN_ROLL,"&amp;K$6&amp;",0,,,'CURRENCY=USD')")</f>
        <v>3655.9180000000001</v>
      </c>
      <c r="L22" s="310" cm="1">
        <f t="array" ref="L22">_xll.FDS($C22,"FE_ESTIMATE(EBITDA,MEAN,ANN_ROLL,"&amp;L$6&amp;",0,,,'CURRENCY=USD')")</f>
        <v>3803.6848</v>
      </c>
      <c r="M22" s="311">
        <f t="shared" si="25"/>
        <v>0.52356893462973653</v>
      </c>
      <c r="N22" s="311">
        <f t="shared" si="26"/>
        <v>0.53032088454981774</v>
      </c>
      <c r="O22" s="311">
        <f t="shared" si="27"/>
        <v>0.53724257623964766</v>
      </c>
      <c r="P22" s="312">
        <f t="shared" si="28"/>
        <v>5.3878609915014701</v>
      </c>
      <c r="Q22" s="312">
        <f t="shared" si="29"/>
        <v>4.9603478333171616</v>
      </c>
      <c r="R22" s="312">
        <f t="shared" si="30"/>
        <v>4.8298734224200723</v>
      </c>
      <c r="S22" s="312">
        <f t="shared" si="31"/>
        <v>10.290642998732762</v>
      </c>
      <c r="T22" s="312">
        <f t="shared" si="32"/>
        <v>9.3534838582265785</v>
      </c>
      <c r="U22" s="312">
        <f t="shared" si="33"/>
        <v>8.9901166363732354</v>
      </c>
      <c r="V22" s="136"/>
      <c r="W22" s="521" t="s">
        <v>572</v>
      </c>
      <c r="X22" s="522">
        <f>_xlfn.XLOOKUP($W22,'[1]EM Multiples'!$C:$C,'[1]EM Multiples'!I:I)</f>
        <v>9.0681687107331985</v>
      </c>
      <c r="Y22" s="522">
        <f>_xlfn.XLOOKUP($W22,'[1]EM Multiples'!$C:$C,'[1]EM Multiples'!J:J)</f>
        <v>8.2690303982041016</v>
      </c>
      <c r="Z22" s="522">
        <f>_xlfn.XLOOKUP($W22,'[1]EM Multiples'!$C:$C,'[1]EM Multiples'!K:K)</f>
        <v>7.5515010665257716</v>
      </c>
      <c r="AA22" s="522">
        <f>_xlfn.XLOOKUP($W22,'[1]EM Multiples'!$C:$C,'[1]EM Multiples'!L:L)</f>
        <v>6.8596437254346361</v>
      </c>
      <c r="AC22" s="330">
        <f>_xlfn.XLOOKUP($W22,'[1]EM Multiples'!$C$58:$C$106,'[1]EM Multiples'!O$58:O$106)</f>
        <v>19.112390671355705</v>
      </c>
      <c r="AD22" s="330">
        <f>_xlfn.XLOOKUP($W22,'[1]EM Multiples'!$C$58:$C$106,'[1]EM Multiples'!P$58:P$106)</f>
        <v>17.042210409746858</v>
      </c>
      <c r="AE22" s="330">
        <f>_xlfn.XLOOKUP($W22,'[1]EM Multiples'!$C$58:$C$106,'[1]EM Multiples'!Q$58:Q$106)</f>
        <v>15.691581280964632</v>
      </c>
      <c r="AF22" s="330">
        <f>_xlfn.XLOOKUP($W22,'[1]EM Multiples'!$C$58:$C$106,'[1]EM Multiples'!R$58:R$106)</f>
        <v>14.65007094409504</v>
      </c>
      <c r="AH22" s="513">
        <f>_xlfn.XLOOKUP($W22,'[2]FCFE charts'!$B$43:$B$70,'[2]FCFE charts'!D$43:D$70)</f>
        <v>7.6877804693761903E-2</v>
      </c>
      <c r="AI22" s="513">
        <f>_xlfn.XLOOKUP($W22,'[2]FCFE charts'!$B$43:$B$70,'[2]FCFE charts'!E$43:E$70)</f>
        <v>5.753799811855817E-2</v>
      </c>
      <c r="AJ22" s="513">
        <f>_xlfn.XLOOKUP($W22,'[2]FCFE charts'!$B$43:$B$70,'[2]FCFE charts'!F$43:F$70)</f>
        <v>6.19058652535633E-2</v>
      </c>
      <c r="AK22" s="513">
        <f>_xlfn.XLOOKUP($W22,'[2]FCFE charts'!$B$43:$B$70,'[2]FCFE charts'!G$43:G$70)</f>
        <v>6.3856265113213337E-2</v>
      </c>
      <c r="AM22" s="521" t="s">
        <v>572</v>
      </c>
      <c r="AN22" s="527">
        <v>8.0843593023221505</v>
      </c>
      <c r="AO22" s="527">
        <v>7.3883561943272706</v>
      </c>
      <c r="AP22" s="527">
        <v>6.7346416951293762</v>
      </c>
      <c r="AQ22" s="527">
        <v>6.0916000194754973</v>
      </c>
      <c r="AS22" s="521" t="s">
        <v>572</v>
      </c>
      <c r="AT22" s="527">
        <v>17.48467373583842</v>
      </c>
      <c r="AU22" s="527">
        <v>15.810288522790966</v>
      </c>
      <c r="AV22" s="527">
        <v>14.647503458259957</v>
      </c>
      <c r="AW22" s="527">
        <v>13.712844583244495</v>
      </c>
      <c r="AY22" s="521" t="s">
        <v>572</v>
      </c>
      <c r="AZ22" s="536">
        <v>6.3047077856055164E-2</v>
      </c>
      <c r="BA22" s="536">
        <v>6.5767026828538064E-2</v>
      </c>
      <c r="BB22" s="536">
        <v>6.7836524480674898E-2</v>
      </c>
      <c r="BC22" s="536">
        <v>7.0331574761019436E-2</v>
      </c>
      <c r="BJ22" s="1" t="s">
        <v>584</v>
      </c>
      <c r="BK22" s="455">
        <v>5.7438966023796318</v>
      </c>
    </row>
    <row r="23" spans="2:63" x14ac:dyDescent="0.2">
      <c r="B23" s="291" t="str" cm="1">
        <f t="array" ref="B23">_xll.FDS($C23,"FG_COMPANY_NAME")</f>
        <v>True Corporation Public Company Limited</v>
      </c>
      <c r="C23" s="103" t="s">
        <v>556</v>
      </c>
      <c r="D23" s="315" cm="1">
        <f t="array" ref="D23">_xll.FDS($C23,"FG_MKT_VALUE(0,,,USD)")</f>
        <v>11542.304</v>
      </c>
      <c r="E23" s="310" cm="1">
        <f t="array" ref="E23">_xll.FDS($C23,"FF_NET_DEBT(ANN_R,0,,,,USD,M)")</f>
        <v>11999.138632091201</v>
      </c>
      <c r="F23" s="310" cm="1">
        <f t="array" ref="F23">_xll.FDS($C23,"FG_ENT_VALUE(0,,,USD)")</f>
        <v>23931.530999999999</v>
      </c>
      <c r="G23" s="310" cm="1">
        <f t="array" ref="G23">_xll.FDS($C23,"FE_ESTIMATE(SALES,MEAN,ANN_ROLL,"&amp;G$6&amp;",0,,,'CURRENCY=USD')")</f>
        <v>6120.6112999999996</v>
      </c>
      <c r="H23" s="310" cm="1">
        <f t="array" ref="H23">_xll.FDS($C23,"FE_ESTIMATE(SALES,MEAN,ANN_ROLL,"&amp;H$6&amp;",0,,,'CURRENCY=USD')")</f>
        <v>6279.4775</v>
      </c>
      <c r="I23" s="310" cm="1">
        <f t="array" ref="I23">_xll.FDS($C23,"FE_ESTIMATE(SALES,MEAN,ANN_ROLL,"&amp;I$6&amp;",0,,,'CURRENCY=USD')")</f>
        <v>6179.6244999999999</v>
      </c>
      <c r="J23" s="310" cm="1">
        <f t="array" ref="J23">_xll.FDS($C23,"FE_ESTIMATE(EBITDA,MEAN,ANN_ROLL,"&amp;J$6&amp;",0,,,'CURRENCY=USD')")</f>
        <v>2930.9137999999998</v>
      </c>
      <c r="K23" s="310" cm="1">
        <f t="array" ref="K23">_xll.FDS($C23,"FE_ESTIMATE(EBITDA,MEAN,ANN_ROLL,"&amp;K$6&amp;",0,,,'CURRENCY=USD')")</f>
        <v>3269.0437000000002</v>
      </c>
      <c r="L23" s="310" cm="1">
        <f t="array" ref="L23">_xll.FDS($C23,"FE_ESTIMATE(EBITDA,MEAN,ANN_ROLL,"&amp;L$6&amp;",0,,,'CURRENCY=USD')")</f>
        <v>3480.6428000000001</v>
      </c>
      <c r="M23" s="311">
        <f t="shared" si="25"/>
        <v>0.47885965246641293</v>
      </c>
      <c r="N23" s="311">
        <f t="shared" si="26"/>
        <v>0.52059167343142809</v>
      </c>
      <c r="O23" s="311">
        <f t="shared" si="27"/>
        <v>0.56324503212128829</v>
      </c>
      <c r="P23" s="312">
        <f t="shared" si="28"/>
        <v>3.9099903305410035</v>
      </c>
      <c r="Q23" s="312">
        <f t="shared" si="29"/>
        <v>3.8110704274360407</v>
      </c>
      <c r="R23" s="312">
        <f t="shared" si="30"/>
        <v>3.8726513237171609</v>
      </c>
      <c r="S23" s="312">
        <f t="shared" si="31"/>
        <v>8.1652114777309386</v>
      </c>
      <c r="T23" s="312">
        <f t="shared" si="32"/>
        <v>7.3206519080794168</v>
      </c>
      <c r="U23" s="312">
        <f t="shared" si="33"/>
        <v>6.8756067126451468</v>
      </c>
      <c r="V23" s="136"/>
      <c r="W23" s="519" t="s">
        <v>573</v>
      </c>
      <c r="X23" s="520">
        <f>_xlfn.XLOOKUP($W23,'[1]EM Multiples'!$C:$C,'[1]EM Multiples'!I:I)</f>
        <v>9.1851171361886923</v>
      </c>
      <c r="Y23" s="520">
        <f>_xlfn.XLOOKUP($W23,'[1]EM Multiples'!$C:$C,'[1]EM Multiples'!J:J)</f>
        <v>8.5019997650957269</v>
      </c>
      <c r="Z23" s="520">
        <f>_xlfn.XLOOKUP($W23,'[1]EM Multiples'!$C:$C,'[1]EM Multiples'!K:K)</f>
        <v>7.7560374650339785</v>
      </c>
      <c r="AA23" s="520">
        <f>_xlfn.XLOOKUP($W23,'[1]EM Multiples'!$C:$C,'[1]EM Multiples'!L:L)</f>
        <v>6.9960780147835306</v>
      </c>
      <c r="AC23" s="330">
        <f>_xlfn.XLOOKUP($W23,'[1]EM Multiples'!$C$58:$C$106,'[1]EM Multiples'!O$58:O$106)</f>
        <v>23.986985611059552</v>
      </c>
      <c r="AD23" s="330">
        <f>_xlfn.XLOOKUP($W23,'[1]EM Multiples'!$C$58:$C$106,'[1]EM Multiples'!P$58:P$106)</f>
        <v>23.181664408681854</v>
      </c>
      <c r="AE23" s="330">
        <f>_xlfn.XLOOKUP($W23,'[1]EM Multiples'!$C$58:$C$106,'[1]EM Multiples'!Q$58:Q$106)</f>
        <v>21.484333754366386</v>
      </c>
      <c r="AF23" s="330">
        <f>_xlfn.XLOOKUP($W23,'[1]EM Multiples'!$C$58:$C$106,'[1]EM Multiples'!R$58:R$106)</f>
        <v>19.334898185720157</v>
      </c>
      <c r="AH23" s="513">
        <f>_xlfn.XLOOKUP($W23,'[2]FCFE charts'!$B$43:$B$70,'[2]FCFE charts'!D$43:D$70)</f>
        <v>4.7081213564525624E-2</v>
      </c>
      <c r="AI23" s="513">
        <f>_xlfn.XLOOKUP($W23,'[2]FCFE charts'!$B$43:$B$70,'[2]FCFE charts'!E$43:E$70)</f>
        <v>4.8384893598701011E-2</v>
      </c>
      <c r="AJ23" s="513">
        <f>_xlfn.XLOOKUP($W23,'[2]FCFE charts'!$B$43:$B$70,'[2]FCFE charts'!F$43:F$70)</f>
        <v>5.4525485310262849E-2</v>
      </c>
      <c r="AK23" s="513">
        <f>_xlfn.XLOOKUP($W23,'[2]FCFE charts'!$B$43:$B$70,'[2]FCFE charts'!G$43:G$70)</f>
        <v>6.3625258339361529E-2</v>
      </c>
      <c r="AM23" s="519" t="s">
        <v>573</v>
      </c>
      <c r="AN23" s="526">
        <v>9.2308317752496336</v>
      </c>
      <c r="AO23" s="526">
        <v>8.5093276122768629</v>
      </c>
      <c r="AP23" s="526">
        <v>7.739675136601897</v>
      </c>
      <c r="AQ23" s="526">
        <v>6.9727548566976818</v>
      </c>
      <c r="AS23" s="519" t="s">
        <v>573</v>
      </c>
      <c r="AT23" s="526">
        <v>26.340925477967414</v>
      </c>
      <c r="AU23" s="526">
        <v>24.87049042497522</v>
      </c>
      <c r="AV23" s="526">
        <v>23.355295672718984</v>
      </c>
      <c r="AW23" s="526">
        <v>21.294516776339673</v>
      </c>
      <c r="AY23" s="519" t="s">
        <v>573</v>
      </c>
      <c r="AZ23" s="535">
        <v>4.8166807308832688E-2</v>
      </c>
      <c r="BA23" s="535">
        <v>5.4076963676875818E-2</v>
      </c>
      <c r="BB23" s="535">
        <v>6.3313529219342232E-2</v>
      </c>
      <c r="BC23" s="535">
        <v>6.6694268266763904E-2</v>
      </c>
      <c r="BJ23" s="1" t="s">
        <v>578</v>
      </c>
      <c r="BK23" s="455">
        <v>6.4398086501735818</v>
      </c>
    </row>
    <row r="24" spans="2:63" x14ac:dyDescent="0.2">
      <c r="B24" s="291" t="str" cm="1">
        <f t="array" ref="B24">_xll.FDS($C24,"FG_COMPANY_NAME")</f>
        <v>Airtel Africa Plc</v>
      </c>
      <c r="C24" s="103" t="s">
        <v>557</v>
      </c>
      <c r="D24" s="315" cm="1">
        <f t="array" ref="D24">_xll.FDS($C24,"FG_MKT_VALUE(0,,,USD)")</f>
        <v>10365.141</v>
      </c>
      <c r="E24" s="310" cm="1">
        <f t="array" ref="E24">_xll.FDS($C24,"FF_NET_DEBT(ANN_R,0,,,,USD,M)")</f>
        <v>4397.0000910209301</v>
      </c>
      <c r="F24" s="310" cm="1">
        <f t="array" ref="F24">_xll.FDS($C24,"FG_ENT_VALUE(0,,,USD)")</f>
        <v>15051.141</v>
      </c>
      <c r="G24" s="310" cm="1">
        <f t="array" ref="G24">_xll.FDS($C24,"FE_ESTIMATE(SALES,MEAN,ANN_ROLL,"&amp;G$6&amp;",0,,,'CURRENCY=USD')")</f>
        <v>4955</v>
      </c>
      <c r="H24" s="310" cm="1">
        <f t="array" ref="H24">_xll.FDS($C24,"FE_ESTIMATE(SALES,MEAN,ANN_ROLL,"&amp;H$6&amp;",0,,,'CURRENCY=USD')")</f>
        <v>5881.1809999999996</v>
      </c>
      <c r="I24" s="310" cm="1">
        <f t="array" ref="I24">_xll.FDS($C24,"FE_ESTIMATE(SALES,MEAN,ANN_ROLL,"&amp;I$6&amp;",0,,,'CURRENCY=USD')")</f>
        <v>6732.5736999999999</v>
      </c>
      <c r="J24" s="310" cm="1">
        <f t="array" ref="J24">_xll.FDS($C24,"FE_ESTIMATE(EBITDA,MEAN,ANN_ROLL,"&amp;J$6&amp;",0,,,'CURRENCY=USD')")</f>
        <v>2300</v>
      </c>
      <c r="K24" s="310" cm="1">
        <f t="array" ref="K24">_xll.FDS($C24,"FE_ESTIMATE(EBITDA,MEAN,ANN_ROLL,"&amp;K$6&amp;",0,,,'CURRENCY=USD')")</f>
        <v>2843.2202000000002</v>
      </c>
      <c r="L24" s="310" cm="1">
        <f t="array" ref="L24">_xll.FDS($C24,"FE_ESTIMATE(EBITDA,MEAN,ANN_ROLL,"&amp;L$6&amp;",0,,,'CURRENCY=USD')")</f>
        <v>3282.7278000000001</v>
      </c>
      <c r="M24" s="311">
        <f t="shared" ref="M24:M33" si="34">IFERROR(J24/G24,"")</f>
        <v>0.46417759838546924</v>
      </c>
      <c r="N24" s="311">
        <f t="shared" ref="N24:N33" si="35">IFERROR(K24/H24,"")</f>
        <v>0.48344375049841187</v>
      </c>
      <c r="O24" s="311">
        <f t="shared" ref="O24:O33" si="36">IFERROR(L24/I24,"")</f>
        <v>0.48758883991125118</v>
      </c>
      <c r="P24" s="312">
        <f t="shared" ref="P24:P33" si="37">IFERROR($F24/G24,"")</f>
        <v>3.0375662966700303</v>
      </c>
      <c r="Q24" s="312">
        <f t="shared" ref="Q24:Q33" si="38">IFERROR($F24/H24,"")</f>
        <v>2.5592038401810795</v>
      </c>
      <c r="R24" s="312">
        <f t="shared" ref="R24:R33" si="39">IFERROR($F24/I24,"")</f>
        <v>2.23557018024177</v>
      </c>
      <c r="S24" s="312">
        <f t="shared" ref="S24:S33" si="40">IFERROR($F24/J24,"")</f>
        <v>6.5439743478260866</v>
      </c>
      <c r="T24" s="312">
        <f t="shared" ref="T24:T33" si="41">IFERROR($F24/K24,"")</f>
        <v>5.2936951559362155</v>
      </c>
      <c r="U24" s="312">
        <f t="shared" ref="U24:U33" si="42">IFERROR($F24/L24,"")</f>
        <v>4.5849494435694602</v>
      </c>
      <c r="V24" s="136"/>
      <c r="W24" s="521" t="s">
        <v>574</v>
      </c>
      <c r="X24" s="522">
        <v>5.7040536351547582</v>
      </c>
      <c r="Y24" s="522">
        <v>5.1197589143089539</v>
      </c>
      <c r="Z24" s="522">
        <v>4.6705827411811711</v>
      </c>
      <c r="AA24" s="522">
        <v>4.315029925703227</v>
      </c>
      <c r="AC24" s="330">
        <f>_xlfn.XLOOKUP($W24,'[1]EM Multiples'!$C$58:$C$106,'[1]EM Multiples'!O$58:O$106)</f>
        <v>30.883321646589447</v>
      </c>
      <c r="AD24" s="330">
        <f>_xlfn.XLOOKUP($W24,'[1]EM Multiples'!$C$58:$C$106,'[1]EM Multiples'!P$58:P$106)</f>
        <v>25.719550824651662</v>
      </c>
      <c r="AE24" s="330">
        <f>_xlfn.XLOOKUP($W24,'[1]EM Multiples'!$C$58:$C$106,'[1]EM Multiples'!Q$58:Q$106)</f>
        <v>17.592625307478006</v>
      </c>
      <c r="AF24" s="330">
        <f>_xlfn.XLOOKUP($W24,'[1]EM Multiples'!$C$58:$C$106,'[1]EM Multiples'!R$58:R$106)</f>
        <v>12.107134671745712</v>
      </c>
      <c r="AH24" s="513">
        <f>_xlfn.XLOOKUP($W24,'[2]FCFE charts'!$B$43:$B$70,'[2]FCFE charts'!D$43:D$70)</f>
        <v>5.1011528225640569E-2</v>
      </c>
      <c r="AI24" s="513">
        <f>_xlfn.XLOOKUP($W24,'[2]FCFE charts'!$B$43:$B$70,'[2]FCFE charts'!E$43:E$70)</f>
        <v>2.4134486472346076E-2</v>
      </c>
      <c r="AJ24" s="513">
        <f>_xlfn.XLOOKUP($W24,'[2]FCFE charts'!$B$43:$B$70,'[2]FCFE charts'!F$43:F$70)</f>
        <v>3.2910663371381009E-2</v>
      </c>
      <c r="AK24" s="513">
        <f>_xlfn.XLOOKUP($W24,'[2]FCFE charts'!$B$43:$B$70,'[2]FCFE charts'!G$43:G$70)</f>
        <v>6.0378409339033629E-2</v>
      </c>
      <c r="AM24" s="521" t="s">
        <v>574</v>
      </c>
      <c r="AN24" s="527">
        <v>5.7040536351547582</v>
      </c>
      <c r="AO24" s="527">
        <v>5.1197589143089539</v>
      </c>
      <c r="AP24" s="527">
        <v>4.6705827411811711</v>
      </c>
      <c r="AQ24" s="527">
        <v>4.315029925703227</v>
      </c>
      <c r="AS24" s="521" t="s">
        <v>574</v>
      </c>
      <c r="AT24" s="527">
        <v>28.991480667318438</v>
      </c>
      <c r="AU24" s="527">
        <v>30.194785292664967</v>
      </c>
      <c r="AV24" s="527">
        <v>25.877578259082426</v>
      </c>
      <c r="AW24" s="527">
        <v>21.313650372568347</v>
      </c>
      <c r="AY24" s="521" t="s">
        <v>574</v>
      </c>
      <c r="AZ24" s="536">
        <v>2.0792041440610594E-2</v>
      </c>
      <c r="BA24" s="536">
        <v>1.2086632615456698E-2</v>
      </c>
      <c r="BB24" s="536">
        <v>2.1063048494878795E-2</v>
      </c>
      <c r="BC24" s="536">
        <v>3.8026502430979083E-2</v>
      </c>
      <c r="BJ24" s="1" t="s">
        <v>569</v>
      </c>
      <c r="BK24" s="455">
        <v>6.5503174039084175</v>
      </c>
    </row>
    <row r="25" spans="2:63" x14ac:dyDescent="0.2">
      <c r="B25" s="291" t="str" cm="1">
        <f t="array" ref="B25">_xll.FDS($C25,"FG_COMPANY_NAME")</f>
        <v>MTN Group Limited</v>
      </c>
      <c r="C25" s="103" t="s">
        <v>558</v>
      </c>
      <c r="D25" s="315" cm="1">
        <f t="array" ref="D25">_xll.FDS($C25,"FG_MKT_VALUE(0,,,USD)")</f>
        <v>16485.947</v>
      </c>
      <c r="E25" s="310" cm="1">
        <f t="array" ref="E25">_xll.FDS($C25,"FF_NET_DEBT(ANN_R,0,,,,USD,M)")</f>
        <v>6065.2886641323603</v>
      </c>
      <c r="F25" s="310" cm="1">
        <f t="array" ref="F25">_xll.FDS($C25,"FG_ENT_VALUE(0,,,USD)")</f>
        <v>23346.254000000001</v>
      </c>
      <c r="G25" s="310" cm="1">
        <f t="array" ref="G25">_xll.FDS($C25,"FE_ESTIMATE(SALES,MEAN,ANN_ROLL,"&amp;G$6&amp;",0,,,'CURRENCY=USD')")</f>
        <v>10396.848</v>
      </c>
      <c r="H25" s="310" cm="1">
        <f t="array" ref="H25">_xll.FDS($C25,"FE_ESTIMATE(SALES,MEAN,ANN_ROLL,"&amp;H$6&amp;",0,,,'CURRENCY=USD')")</f>
        <v>12142.349</v>
      </c>
      <c r="I25" s="310" cm="1">
        <f t="array" ref="I25">_xll.FDS($C25,"FE_ESTIMATE(SALES,MEAN,ANN_ROLL,"&amp;I$6&amp;",0,,,'CURRENCY=USD')")</f>
        <v>13868.012000000001</v>
      </c>
      <c r="J25" s="310" cm="1">
        <f t="array" ref="J25">_xll.FDS($C25,"FE_ESTIMATE(EBITDA,MEAN,ANN_ROLL,"&amp;J$6&amp;",0,,,'CURRENCY=USD')")</f>
        <v>3510.1156999999998</v>
      </c>
      <c r="K25" s="310" cm="1">
        <f t="array" ref="K25">_xll.FDS($C25,"FE_ESTIMATE(EBITDA,MEAN,ANN_ROLL,"&amp;K$6&amp;",0,,,'CURRENCY=USD')")</f>
        <v>5044.2240000000002</v>
      </c>
      <c r="L25" s="310" cm="1">
        <f t="array" ref="L25">_xll.FDS($C25,"FE_ESTIMATE(EBITDA,MEAN,ANN_ROLL,"&amp;L$6&amp;",0,,,'CURRENCY=USD')")</f>
        <v>6090.2754000000004</v>
      </c>
      <c r="M25" s="311">
        <f t="shared" si="34"/>
        <v>0.33761344784496222</v>
      </c>
      <c r="N25" s="311">
        <f t="shared" si="35"/>
        <v>0.41542406662829406</v>
      </c>
      <c r="O25" s="311">
        <f t="shared" si="36"/>
        <v>0.43915994592447716</v>
      </c>
      <c r="P25" s="312">
        <f t="shared" si="37"/>
        <v>2.2455126784579327</v>
      </c>
      <c r="Q25" s="312">
        <f t="shared" si="38"/>
        <v>1.9227131422429053</v>
      </c>
      <c r="R25" s="312">
        <f t="shared" si="39"/>
        <v>1.6834607584706445</v>
      </c>
      <c r="S25" s="312">
        <f t="shared" si="40"/>
        <v>6.6511351748319871</v>
      </c>
      <c r="T25" s="312">
        <f t="shared" si="41"/>
        <v>4.6283142858049127</v>
      </c>
      <c r="U25" s="312">
        <f t="shared" si="42"/>
        <v>3.8333658934372656</v>
      </c>
      <c r="V25" s="136"/>
      <c r="W25" s="519" t="s">
        <v>575</v>
      </c>
      <c r="X25" s="520">
        <v>7.3490824834213253</v>
      </c>
      <c r="Y25" s="520">
        <v>6.2671428059791774</v>
      </c>
      <c r="Z25" s="520">
        <v>5.5570096594263143</v>
      </c>
      <c r="AA25" s="520">
        <v>4.9220414146825453</v>
      </c>
      <c r="AC25" s="330">
        <f>_xlfn.XLOOKUP($W25,'[1]EM Multiples'!$C$58:$C$106,'[1]EM Multiples'!O$58:O$106)</f>
        <v>21.775044812402413</v>
      </c>
      <c r="AD25" s="330">
        <f>_xlfn.XLOOKUP($W25,'[1]EM Multiples'!$C$58:$C$106,'[1]EM Multiples'!P$58:P$106)</f>
        <v>20.008783739889839</v>
      </c>
      <c r="AE25" s="330">
        <f>_xlfn.XLOOKUP($W25,'[1]EM Multiples'!$C$58:$C$106,'[1]EM Multiples'!Q$58:Q$106)</f>
        <v>18.295860108923389</v>
      </c>
      <c r="AF25" s="330">
        <f>_xlfn.XLOOKUP($W25,'[1]EM Multiples'!$C$58:$C$106,'[1]EM Multiples'!R$58:R$106)</f>
        <v>16.426663464998555</v>
      </c>
      <c r="AH25" s="513">
        <f>_xlfn.XLOOKUP($W25,'[2]FCFE charts'!$B$43:$B$70,'[2]FCFE charts'!D$43:D$70)</f>
        <v>5.096538972799828E-2</v>
      </c>
      <c r="AI25" s="513">
        <f>_xlfn.XLOOKUP($W25,'[2]FCFE charts'!$B$43:$B$70,'[2]FCFE charts'!E$43:E$70)</f>
        <v>5.0762580606790099E-2</v>
      </c>
      <c r="AJ25" s="513">
        <f>_xlfn.XLOOKUP($W25,'[2]FCFE charts'!$B$43:$B$70,'[2]FCFE charts'!F$43:F$70)</f>
        <v>6.247142637818516E-2</v>
      </c>
      <c r="AK25" s="513">
        <f>_xlfn.XLOOKUP($W25,'[2]FCFE charts'!$B$43:$B$70,'[2]FCFE charts'!G$43:G$70)</f>
        <v>6.5585555720367991E-2</v>
      </c>
      <c r="AM25" s="519" t="s">
        <v>575</v>
      </c>
      <c r="AN25" s="526">
        <v>7.3490824834213253</v>
      </c>
      <c r="AO25" s="526">
        <v>6.2671428059791774</v>
      </c>
      <c r="AP25" s="526">
        <v>5.5570096594263143</v>
      </c>
      <c r="AQ25" s="526">
        <v>4.9220414146825453</v>
      </c>
      <c r="AS25" s="519" t="s">
        <v>575</v>
      </c>
      <c r="AT25" s="526">
        <v>20.521725263499597</v>
      </c>
      <c r="AU25" s="526">
        <v>18.601928595514106</v>
      </c>
      <c r="AV25" s="526">
        <v>16.941442630829286</v>
      </c>
      <c r="AW25" s="526">
        <v>15.205695332730732</v>
      </c>
      <c r="AY25" s="519" t="s">
        <v>575</v>
      </c>
      <c r="AZ25" s="535">
        <v>5.17026070030061E-2</v>
      </c>
      <c r="BA25" s="535">
        <v>6.4482505197854825E-2</v>
      </c>
      <c r="BB25" s="535">
        <v>6.7833421900552332E-2</v>
      </c>
      <c r="BC25" s="535">
        <v>7.3021682457465403E-2</v>
      </c>
      <c r="BJ25" s="1" t="s">
        <v>580</v>
      </c>
      <c r="BK25" s="455">
        <v>6.9107785701461388</v>
      </c>
    </row>
    <row r="26" spans="2:63" x14ac:dyDescent="0.2">
      <c r="B26" s="291" t="str" cm="1">
        <f t="array" ref="B26">_xll.FDS($C26,"FG_COMPANY_NAME")</f>
        <v>Safaricom PLC</v>
      </c>
      <c r="C26" s="103" t="s">
        <v>559</v>
      </c>
      <c r="D26" s="315" cm="1">
        <f t="array" ref="D26">_xll.FDS($C26,"FG_MKT_VALUE(0,,,USD)")</f>
        <v>8186.5129999999999</v>
      </c>
      <c r="E26" s="310" cm="1">
        <f t="array" ref="E26">_xll.FDS($C26,"FF_NET_DEBT(ANN_R,0,,,,USD,M)")</f>
        <v>146.74554802337701</v>
      </c>
      <c r="F26" s="310" cm="1">
        <f t="array" ref="F26">_xll.FDS($C26,"FG_ENT_VALUE(0,,,USD)")</f>
        <v>8568.9410000000007</v>
      </c>
      <c r="G26" s="310" cm="1">
        <f t="array" ref="G26">_xll.FDS($C26,"FE_ESTIMATE(SALES,MEAN,ANN_ROLL,"&amp;G$6&amp;",0,,,'CURRENCY=USD')")</f>
        <v>3008.3384000000001</v>
      </c>
      <c r="H26" s="310" cm="1">
        <f t="array" ref="H26">_xll.FDS($C26,"FE_ESTIMATE(SALES,MEAN,ANN_ROLL,"&amp;H$6&amp;",0,,,'CURRENCY=USD')")</f>
        <v>3386.7082999999998</v>
      </c>
      <c r="I26" s="310" cm="1">
        <f t="array" ref="I26">_xll.FDS($C26,"FE_ESTIMATE(SALES,MEAN,ANN_ROLL,"&amp;I$6&amp;",0,,,'CURRENCY=USD')")</f>
        <v>3781.5686000000001</v>
      </c>
      <c r="J26" s="310" cm="1">
        <f t="array" ref="J26">_xll.FDS($C26,"FE_ESTIMATE(EBITDA,MEAN,ANN_ROLL,"&amp;J$6&amp;",0,,,'CURRENCY=USD')")</f>
        <v>1331.9223999999999</v>
      </c>
      <c r="K26" s="310" cm="1">
        <f t="array" ref="K26">_xll.FDS($C26,"FE_ESTIMATE(EBITDA,MEAN,ANN_ROLL,"&amp;K$6&amp;",0,,,'CURRENCY=USD')")</f>
        <v>1712.7935</v>
      </c>
      <c r="L26" s="310" cm="1">
        <f t="array" ref="L26">_xll.FDS($C26,"FE_ESTIMATE(EBITDA,MEAN,ANN_ROLL,"&amp;L$6&amp;",0,,,'CURRENCY=USD')")</f>
        <v>1952.6310000000001</v>
      </c>
      <c r="M26" s="311">
        <f t="shared" si="34"/>
        <v>0.442743542415308</v>
      </c>
      <c r="N26" s="311">
        <f t="shared" si="35"/>
        <v>0.50573989498888938</v>
      </c>
      <c r="O26" s="311">
        <f t="shared" si="36"/>
        <v>0.5163547740479969</v>
      </c>
      <c r="P26" s="312">
        <f t="shared" si="37"/>
        <v>2.8483966431436039</v>
      </c>
      <c r="Q26" s="312">
        <f t="shared" si="38"/>
        <v>2.5301680100409008</v>
      </c>
      <c r="R26" s="312">
        <f t="shared" si="39"/>
        <v>2.265975288667248</v>
      </c>
      <c r="S26" s="312">
        <f t="shared" si="40"/>
        <v>6.4335136941911939</v>
      </c>
      <c r="T26" s="312">
        <f t="shared" si="41"/>
        <v>5.0029037359144581</v>
      </c>
      <c r="U26" s="312">
        <f t="shared" si="42"/>
        <v>4.388407743193671</v>
      </c>
      <c r="V26" s="136"/>
      <c r="W26" s="521" t="s">
        <v>985</v>
      </c>
      <c r="X26" s="522">
        <f>_xlfn.XLOOKUP($W26,'[1]EM Multiples'!$C:$C,'[1]EM Multiples'!I:I)</f>
        <v>7.6642962779703634</v>
      </c>
      <c r="Y26" s="522">
        <f>_xlfn.XLOOKUP($W26,'[1]EM Multiples'!$C:$C,'[1]EM Multiples'!J:J)</f>
        <v>6.6218585444613467</v>
      </c>
      <c r="Z26" s="522">
        <f>_xlfn.XLOOKUP($W26,'[1]EM Multiples'!$C:$C,'[1]EM Multiples'!K:K)</f>
        <v>5.9302734863114095</v>
      </c>
      <c r="AA26" s="522">
        <f>_xlfn.XLOOKUP($W26,'[1]EM Multiples'!$C:$C,'[1]EM Multiples'!L:L)</f>
        <v>5.3084788922323485</v>
      </c>
      <c r="AC26" s="330">
        <f>_xlfn.XLOOKUP($W26,'[1]EM Multiples'!$C$58:$C$106,'[1]EM Multiples'!O$58:O$106)</f>
        <v>30.779328079965289</v>
      </c>
      <c r="AD26" s="330">
        <f>_xlfn.XLOOKUP($W26,'[1]EM Multiples'!$C$58:$C$106,'[1]EM Multiples'!P$58:P$106)</f>
        <v>18.708488226658492</v>
      </c>
      <c r="AE26" s="330">
        <f>_xlfn.XLOOKUP($W26,'[1]EM Multiples'!$C$58:$C$106,'[1]EM Multiples'!Q$58:Q$106)</f>
        <v>12.62206734709161</v>
      </c>
      <c r="AF26" s="330">
        <f>_xlfn.XLOOKUP($W26,'[1]EM Multiples'!$C$58:$C$106,'[1]EM Multiples'!R$58:R$106)</f>
        <v>9.7723779214633311</v>
      </c>
      <c r="AH26" s="578">
        <v>5.8963559807213309E-2</v>
      </c>
      <c r="AI26" s="514">
        <v>8.0819979104019724E-2</v>
      </c>
      <c r="AJ26" s="514">
        <v>0.1133687859675571</v>
      </c>
      <c r="AK26" s="514">
        <v>0.13463832985656551</v>
      </c>
      <c r="AM26" s="521" t="s">
        <v>985</v>
      </c>
      <c r="AN26" s="527">
        <v>7.190615065838502</v>
      </c>
      <c r="AO26" s="527">
        <v>6.1231168601079888</v>
      </c>
      <c r="AP26" s="527">
        <v>5.4181993163107096</v>
      </c>
      <c r="AQ26" s="527">
        <v>4.7867586370354944</v>
      </c>
      <c r="AS26" s="521" t="s">
        <v>985</v>
      </c>
      <c r="AT26" s="527">
        <v>23.550404562859114</v>
      </c>
      <c r="AU26" s="527">
        <v>13.833058145345531</v>
      </c>
      <c r="AV26" s="527">
        <v>9.8628387109035138</v>
      </c>
      <c r="AW26" s="527">
        <v>7.8688239431283389</v>
      </c>
      <c r="AY26" s="521" t="s">
        <v>985</v>
      </c>
      <c r="AZ26" s="536">
        <v>5.8963559807213309E-2</v>
      </c>
      <c r="BA26" s="536">
        <v>8.0819979104019724E-2</v>
      </c>
      <c r="BB26" s="536">
        <v>0.1133687859675571</v>
      </c>
      <c r="BC26" s="536">
        <v>0.13463832985656551</v>
      </c>
      <c r="BJ26" s="1" t="s">
        <v>577</v>
      </c>
      <c r="BK26" s="455">
        <v>7.2880992942480027</v>
      </c>
    </row>
    <row r="27" spans="2:63" x14ac:dyDescent="0.2">
      <c r="B27" s="291" t="str" cm="1">
        <f t="array" ref="B27">_xll.FDS($C27,"FG_COMPANY_NAME")</f>
        <v>Vodacom Group Limited</v>
      </c>
      <c r="C27" s="103" t="s">
        <v>501</v>
      </c>
      <c r="D27" s="315" cm="1">
        <f t="array" ref="D27">_xll.FDS($C27,"FG_MKT_VALUE(0,,,USD)")</f>
        <v>14797.862999999999</v>
      </c>
      <c r="E27" s="310" cm="1">
        <f t="array" ref="E27">_xll.FDS($C27,"FF_NET_DEBT(ANN_R,0,,,,USD,M)")</f>
        <v>2749.9606583006698</v>
      </c>
      <c r="F27" s="310" cm="1">
        <f t="array" ref="F27">_xll.FDS($C27,"FG_ENT_VALUE(0,,,USD)")</f>
        <v>18180.330000000002</v>
      </c>
      <c r="G27" s="310" cm="1">
        <f t="array" ref="G27">_xll.FDS($C27,"FE_ESTIMATE(SALES,MEAN,ANN_ROLL,"&amp;G$6&amp;",0,,,'CURRENCY=USD')")</f>
        <v>8424.2939999999999</v>
      </c>
      <c r="H27" s="310" cm="1">
        <f t="array" ref="H27">_xll.FDS($C27,"FE_ESTIMATE(SALES,MEAN,ANN_ROLL,"&amp;H$6&amp;",0,,,'CURRENCY=USD')")</f>
        <v>9431.2479999999996</v>
      </c>
      <c r="I27" s="310" cm="1">
        <f t="array" ref="I27">_xll.FDS($C27,"FE_ESTIMATE(SALES,MEAN,ANN_ROLL,"&amp;I$6&amp;",0,,,'CURRENCY=USD')")</f>
        <v>10301.616</v>
      </c>
      <c r="J27" s="310" cm="1">
        <f t="array" ref="J27">_xll.FDS($C27,"FE_ESTIMATE(EBITDA,MEAN,ANN_ROLL,"&amp;J$6&amp;",0,,,'CURRENCY=USD')")</f>
        <v>3069.6089999999999</v>
      </c>
      <c r="K27" s="310" cm="1">
        <f t="array" ref="K27">_xll.FDS($C27,"FE_ESTIMATE(EBITDA,MEAN,ANN_ROLL,"&amp;K$6&amp;",0,,,'CURRENCY=USD')")</f>
        <v>3536.06</v>
      </c>
      <c r="L27" s="310" cm="1">
        <f t="array" ref="L27">_xll.FDS($C27,"FE_ESTIMATE(EBITDA,MEAN,ANN_ROLL,"&amp;L$6&amp;",0,,,'CURRENCY=USD')")</f>
        <v>3943.25</v>
      </c>
      <c r="M27" s="311">
        <f t="shared" si="34"/>
        <v>0.36437581594374557</v>
      </c>
      <c r="N27" s="311">
        <f t="shared" si="35"/>
        <v>0.37493023192688818</v>
      </c>
      <c r="O27" s="311">
        <f t="shared" si="36"/>
        <v>0.38277975028383898</v>
      </c>
      <c r="P27" s="312">
        <f t="shared" si="37"/>
        <v>2.1580835141793488</v>
      </c>
      <c r="Q27" s="312">
        <f t="shared" si="38"/>
        <v>1.9276695936741355</v>
      </c>
      <c r="R27" s="312">
        <f t="shared" si="39"/>
        <v>1.7648036968180527</v>
      </c>
      <c r="S27" s="312">
        <f t="shared" si="40"/>
        <v>5.9226859186300285</v>
      </c>
      <c r="T27" s="312">
        <f t="shared" si="41"/>
        <v>5.1414087996244415</v>
      </c>
      <c r="U27" s="312">
        <f t="shared" si="42"/>
        <v>4.6104938819501688</v>
      </c>
      <c r="V27" s="136"/>
      <c r="W27" s="519" t="s">
        <v>581</v>
      </c>
      <c r="X27" s="520">
        <f>_xlfn.XLOOKUP($W27,'[1]EM Multiples'!$C:$C,'[1]EM Multiples'!I:I)</f>
        <v>4.482477015714518</v>
      </c>
      <c r="Y27" s="520">
        <f>_xlfn.XLOOKUP($W27,'[1]EM Multiples'!$C:$C,'[1]EM Multiples'!J:J)</f>
        <v>3.9369772181449032</v>
      </c>
      <c r="Z27" s="520">
        <f>_xlfn.XLOOKUP($W27,'[1]EM Multiples'!$C:$C,'[1]EM Multiples'!K:K)</f>
        <v>3.4280182209687906</v>
      </c>
      <c r="AA27" s="520">
        <f>_xlfn.XLOOKUP($W27,'[1]EM Multiples'!$C:$C,'[1]EM Multiples'!L:L)</f>
        <v>2.9696201394056985</v>
      </c>
      <c r="AC27" s="330">
        <f>_xlfn.XLOOKUP($W27,'[1]EM Multiples'!$C$58:$C$106,'[1]EM Multiples'!O$58:O$106)</f>
        <v>8.8990079388949059</v>
      </c>
      <c r="AD27" s="330">
        <f>_xlfn.XLOOKUP($W27,'[1]EM Multiples'!$C$58:$C$106,'[1]EM Multiples'!P$58:P$106)</f>
        <v>7.3763808625099632</v>
      </c>
      <c r="AE27" s="330">
        <f>_xlfn.XLOOKUP($W27,'[1]EM Multiples'!$C$58:$C$106,'[1]EM Multiples'!Q$58:Q$106)</f>
        <v>6.0221185721918458</v>
      </c>
      <c r="AF27" s="330">
        <f>_xlfn.XLOOKUP($W27,'[1]EM Multiples'!$C$58:$C$106,'[1]EM Multiples'!R$58:R$106)</f>
        <v>4.9174728843215538</v>
      </c>
      <c r="AH27" s="513">
        <f>_xlfn.XLOOKUP($W27,'[2]FCFE charts'!$B$43:$B$70,'[2]FCFE charts'!D$43:D$70)</f>
        <v>2.5749209342019151E-2</v>
      </c>
      <c r="AI27" s="513">
        <f>_xlfn.XLOOKUP($W27,'[2]FCFE charts'!$B$43:$B$70,'[2]FCFE charts'!E$43:E$70)</f>
        <v>5.2528755860452997E-2</v>
      </c>
      <c r="AJ27" s="513">
        <f>_xlfn.XLOOKUP($W27,'[2]FCFE charts'!$B$43:$B$70,'[2]FCFE charts'!F$43:F$70)</f>
        <v>0.10985686992606859</v>
      </c>
      <c r="AK27" s="513">
        <f>_xlfn.XLOOKUP($W27,'[2]FCFE charts'!$B$43:$B$70,'[2]FCFE charts'!G$43:G$70)</f>
        <v>0.14041421531941065</v>
      </c>
      <c r="AM27" s="519" t="s">
        <v>581</v>
      </c>
      <c r="AN27" s="526">
        <v>4.6008970479661517</v>
      </c>
      <c r="AO27" s="526">
        <v>3.9453647172023238</v>
      </c>
      <c r="AP27" s="526">
        <v>3.3378891551772618</v>
      </c>
      <c r="AQ27" s="526">
        <v>2.7470694073822917</v>
      </c>
      <c r="AS27" s="519" t="s">
        <v>581</v>
      </c>
      <c r="AT27" s="526">
        <v>10.386833468507739</v>
      </c>
      <c r="AU27" s="526">
        <v>8.5154745277380073</v>
      </c>
      <c r="AV27" s="526">
        <v>7.0297799292684822</v>
      </c>
      <c r="AW27" s="526">
        <v>5.7038901402862594</v>
      </c>
      <c r="AY27" s="519" t="s">
        <v>581</v>
      </c>
      <c r="AZ27" s="535">
        <v>6.4491332288097253E-2</v>
      </c>
      <c r="BA27" s="535">
        <v>9.8375030935237404E-2</v>
      </c>
      <c r="BB27" s="535">
        <v>0.12667507359970895</v>
      </c>
      <c r="BC27" s="535">
        <v>0.16237809548116258</v>
      </c>
      <c r="BJ27" s="1" t="s">
        <v>576</v>
      </c>
      <c r="BK27" s="455">
        <v>7.3807759669378896</v>
      </c>
    </row>
    <row r="28" spans="2:63" x14ac:dyDescent="0.2">
      <c r="B28" s="291" t="str" cm="1">
        <f t="array" ref="B28">_xll.FDS($C28,"FG_COMPANY_NAME")</f>
        <v>VEON Ltd. Sponsored ADR</v>
      </c>
      <c r="C28" s="103" t="s">
        <v>560</v>
      </c>
      <c r="D28" s="315" cm="1">
        <f t="array" ref="D28">_xll.FDS($C28,"FG_MKT_VALUE(0,,,USD)")</f>
        <v>3957.1217999999999</v>
      </c>
      <c r="E28" s="310" cm="1">
        <f t="array" ref="E28">_xll.FDS($C28,"FF_NET_DEBT(ANN_R,0,,,,USD,M)")</f>
        <v>2648</v>
      </c>
      <c r="F28" s="310" cm="1">
        <f t="array" ref="F28">_xll.FDS($C28,"FG_ENT_VALUE(0,,,USD)")</f>
        <v>6710.26</v>
      </c>
      <c r="G28" s="310" cm="1">
        <f t="array" ref="G28">_xll.FDS($C28,"FE_ESTIMATE(SALES,MEAN,ANN_ROLL,"&amp;G$6&amp;",0,,,'CURRENCY=USD')")</f>
        <v>4004</v>
      </c>
      <c r="H28" s="310" cm="1">
        <f t="array" ref="H28">_xll.FDS($C28,"FE_ESTIMATE(SALES,MEAN,ANN_ROLL,"&amp;H$6&amp;",0,,,'CURRENCY=USD')")</f>
        <v>4254.3999999999996</v>
      </c>
      <c r="I28" s="310" cm="1">
        <f t="array" ref="I28">_xll.FDS($C28,"FE_ESTIMATE(SALES,MEAN,ANN_ROLL,"&amp;I$6&amp;",0,,,'CURRENCY=USD')")</f>
        <v>4555.3999999999996</v>
      </c>
      <c r="J28" s="310" cm="1">
        <f t="array" ref="J28">_xll.FDS($C28,"FE_ESTIMATE(EBITDA,MEAN,ANN_ROLL,"&amp;J$6&amp;",0,,,'CURRENCY=USD')")</f>
        <v>1691</v>
      </c>
      <c r="K28" s="310" cm="1">
        <f t="array" ref="K28">_xll.FDS($C28,"FE_ESTIMATE(EBITDA,MEAN,ANN_ROLL,"&amp;K$6&amp;",0,,,'CURRENCY=USD')")</f>
        <v>1811.2</v>
      </c>
      <c r="L28" s="310" cm="1">
        <f t="array" ref="L28">_xll.FDS($C28,"FE_ESTIMATE(EBITDA,MEAN,ANN_ROLL,"&amp;L$6&amp;",0,,,'CURRENCY=USD')")</f>
        <v>2008.6</v>
      </c>
      <c r="M28" s="311">
        <f t="shared" si="34"/>
        <v>0.42232767232767232</v>
      </c>
      <c r="N28" s="311">
        <f t="shared" si="35"/>
        <v>0.42572395637457694</v>
      </c>
      <c r="O28" s="311">
        <f t="shared" si="36"/>
        <v>0.44092725117443038</v>
      </c>
      <c r="P28" s="312">
        <f t="shared" si="37"/>
        <v>1.675889110889111</v>
      </c>
      <c r="Q28" s="312">
        <f t="shared" si="38"/>
        <v>1.5772517863858595</v>
      </c>
      <c r="R28" s="312">
        <f t="shared" si="39"/>
        <v>1.473034201167845</v>
      </c>
      <c r="S28" s="312">
        <f t="shared" si="40"/>
        <v>3.9682199881726792</v>
      </c>
      <c r="T28" s="312">
        <f t="shared" si="41"/>
        <v>3.7048696996466433</v>
      </c>
      <c r="U28" s="312">
        <f t="shared" si="42"/>
        <v>3.3407647117395203</v>
      </c>
      <c r="V28" s="136"/>
      <c r="W28" s="521" t="s">
        <v>577</v>
      </c>
      <c r="X28" s="522">
        <f>_xlfn.XLOOKUP($W28,'[1]EM Multiples'!$C:$C,'[1]EM Multiples'!I:I)</f>
        <v>8.2435718303534635</v>
      </c>
      <c r="Y28" s="522">
        <f>_xlfn.XLOOKUP($W28,'[1]EM Multiples'!$C:$C,'[1]EM Multiples'!J:J)</f>
        <v>6.3452456576911143</v>
      </c>
      <c r="Z28" s="522">
        <f>_xlfn.XLOOKUP($W28,'[1]EM Multiples'!$C:$C,'[1]EM Multiples'!K:K)</f>
        <v>5.1358921863013673</v>
      </c>
      <c r="AA28" s="522">
        <f>_xlfn.XLOOKUP($W28,'[1]EM Multiples'!$C:$C,'[1]EM Multiples'!L:L)</f>
        <v>4.2076200744307481</v>
      </c>
      <c r="AC28" s="330">
        <f>_xlfn.XLOOKUP($W28,'[1]EM Multiples'!$C$58:$C$106,'[1]EM Multiples'!O$58:O$106)</f>
        <v>11.103608612248264</v>
      </c>
      <c r="AD28" s="330">
        <f>_xlfn.XLOOKUP($W28,'[1]EM Multiples'!$C$58:$C$106,'[1]EM Multiples'!P$58:P$106)</f>
        <v>11.366659716670538</v>
      </c>
      <c r="AE28" s="330">
        <f>_xlfn.XLOOKUP($W28,'[1]EM Multiples'!$C$58:$C$106,'[1]EM Multiples'!Q$58:Q$106)</f>
        <v>8.4425218127859569</v>
      </c>
      <c r="AF28" s="330">
        <f>_xlfn.XLOOKUP($W28,'[1]EM Multiples'!$C$58:$C$106,'[1]EM Multiples'!R$58:R$106)</f>
        <v>6.5924966711838646</v>
      </c>
      <c r="AH28" s="513">
        <f>_xlfn.XLOOKUP($W28,'[2]FCFE charts'!$B$43:$B$70,'[2]FCFE charts'!D$43:D$70)</f>
        <v>4.1325079858766565E-2</v>
      </c>
      <c r="AI28" s="513">
        <f>_xlfn.XLOOKUP($W28,'[2]FCFE charts'!$B$43:$B$70,'[2]FCFE charts'!E$43:E$70)</f>
        <v>3.7078751156216158E-2</v>
      </c>
      <c r="AJ28" s="513">
        <f>_xlfn.XLOOKUP($W28,'[2]FCFE charts'!$B$43:$B$70,'[2]FCFE charts'!F$43:F$70)</f>
        <v>6.454946443382388E-2</v>
      </c>
      <c r="AK28" s="513">
        <f>_xlfn.XLOOKUP($W28,'[2]FCFE charts'!$B$43:$B$70,'[2]FCFE charts'!G$43:G$70)</f>
        <v>8.6075586110174074E-2</v>
      </c>
      <c r="AM28" s="521" t="s">
        <v>577</v>
      </c>
      <c r="AN28" s="527">
        <v>7.7451676415383242</v>
      </c>
      <c r="AO28" s="527">
        <v>6.1490668235245325</v>
      </c>
      <c r="AP28" s="527">
        <v>5.0016043646350914</v>
      </c>
      <c r="AQ28" s="527">
        <v>4.1088625716671272</v>
      </c>
      <c r="AS28" s="521" t="s">
        <v>577</v>
      </c>
      <c r="AT28" s="527">
        <v>14.61319705902204</v>
      </c>
      <c r="AU28" s="527">
        <v>10.935773799710093</v>
      </c>
      <c r="AV28" s="527">
        <v>8.2421790565663429</v>
      </c>
      <c r="AW28" s="527">
        <v>6.5125789208808813</v>
      </c>
      <c r="AY28" s="521" t="s">
        <v>577</v>
      </c>
      <c r="AZ28" s="536">
        <v>5.5514354970696199E-2</v>
      </c>
      <c r="BA28" s="536">
        <v>5.6399644132814349E-2</v>
      </c>
      <c r="BB28" s="536">
        <v>8.2303201188687863E-2</v>
      </c>
      <c r="BC28" s="536">
        <v>0.1037185206593103</v>
      </c>
      <c r="BJ28" s="1" t="s">
        <v>572</v>
      </c>
      <c r="BK28" s="455">
        <v>8.4194528541429658</v>
      </c>
    </row>
    <row r="29" spans="2:63" x14ac:dyDescent="0.2">
      <c r="B29" s="291" t="str" cm="1">
        <f t="array" ref="B29">_xll.FDS($C29,"FG_COMPANY_NAME")</f>
        <v>America Movil SAB de CV Sponsored ADR Class B</v>
      </c>
      <c r="C29" s="103" t="s">
        <v>503</v>
      </c>
      <c r="D29" s="315" cm="1">
        <f t="array" ref="D29">_xll.FDS($C29,"FG_MKT_VALUE(0,,,USD)")</f>
        <v>58365.644999999997</v>
      </c>
      <c r="E29" s="310" cm="1">
        <f t="array" ref="E29">_xll.FDS($C29,"FF_NET_DEBT(ANN_R,0,,,,USD,M)")</f>
        <v>33538.280121677002</v>
      </c>
      <c r="F29" s="310" cm="1">
        <f t="array" ref="F29">_xll.FDS($C29,"FG_ENT_VALUE(0,,,USD)")</f>
        <v>100124.69</v>
      </c>
      <c r="G29" s="310" cm="1">
        <f t="array" ref="G29">_xll.FDS($C29,"FE_ESTIMATE(SALES,MEAN,ANN_ROLL,"&amp;G$6&amp;",0,,,'CURRENCY=USD')")</f>
        <v>42392.703000000001</v>
      </c>
      <c r="H29" s="310" cm="1">
        <f t="array" ref="H29">_xll.FDS($C29,"FE_ESTIMATE(SALES,MEAN,ANN_ROLL,"&amp;H$6&amp;",0,,,'CURRENCY=USD')")</f>
        <v>49617.097999999998</v>
      </c>
      <c r="I29" s="310" cm="1">
        <f t="array" ref="I29">_xll.FDS($C29,"FE_ESTIMATE(SALES,MEAN,ANN_ROLL,"&amp;I$6&amp;",0,,,'CURRENCY=USD')")</f>
        <v>51635.09</v>
      </c>
      <c r="J29" s="310" cm="1">
        <f t="array" ref="J29">_xll.FDS($C29,"FE_ESTIMATE(EBITDA,MEAN,ANN_ROLL,"&amp;J$6&amp;",0,,,'CURRENCY=USD')")</f>
        <v>16941.526999999998</v>
      </c>
      <c r="K29" s="310" cm="1">
        <f t="array" ref="K29">_xll.FDS($C29,"FE_ESTIMATE(EBITDA,MEAN,ANN_ROLL,"&amp;K$6&amp;",0,,,'CURRENCY=USD')")</f>
        <v>19558.021000000001</v>
      </c>
      <c r="L29" s="310" cm="1">
        <f t="array" ref="L29">_xll.FDS($C29,"FE_ESTIMATE(EBITDA,MEAN,ANN_ROLL,"&amp;L$6&amp;",0,,,'CURRENCY=USD')")</f>
        <v>20457.598000000002</v>
      </c>
      <c r="M29" s="311">
        <f t="shared" si="34"/>
        <v>0.39963309251594542</v>
      </c>
      <c r="N29" s="311">
        <f t="shared" si="35"/>
        <v>0.39417905900099198</v>
      </c>
      <c r="O29" s="311">
        <f t="shared" si="36"/>
        <v>0.39619564912155675</v>
      </c>
      <c r="P29" s="312">
        <f t="shared" si="37"/>
        <v>2.3618378379882974</v>
      </c>
      <c r="Q29" s="312">
        <f t="shared" si="38"/>
        <v>2.0179473213044425</v>
      </c>
      <c r="R29" s="312">
        <f t="shared" si="39"/>
        <v>1.9390823178578755</v>
      </c>
      <c r="S29" s="312">
        <f t="shared" si="40"/>
        <v>5.9100156674188824</v>
      </c>
      <c r="T29" s="312">
        <f t="shared" si="41"/>
        <v>5.1193671384236676</v>
      </c>
      <c r="U29" s="312">
        <f t="shared" si="42"/>
        <v>4.8942544476629166</v>
      </c>
      <c r="V29" s="136"/>
      <c r="W29" s="519" t="s">
        <v>578</v>
      </c>
      <c r="X29" s="520">
        <f>_xlfn.XLOOKUP($W29,'[1]EM Multiples'!$C:$C,'[1]EM Multiples'!I:I)</f>
        <v>6.2546096310415091</v>
      </c>
      <c r="Y29" s="520">
        <f>_xlfn.XLOOKUP($W29,'[1]EM Multiples'!$C:$C,'[1]EM Multiples'!J:J)</f>
        <v>5.0242845043625906</v>
      </c>
      <c r="Z29" s="520">
        <f>_xlfn.XLOOKUP($W29,'[1]EM Multiples'!$C:$C,'[1]EM Multiples'!K:K)</f>
        <v>3.9862306987794014</v>
      </c>
      <c r="AA29" s="520">
        <f>_xlfn.XLOOKUP($W29,'[1]EM Multiples'!$C:$C,'[1]EM Multiples'!L:L)</f>
        <v>3.2703475555360919</v>
      </c>
      <c r="AC29" s="330">
        <f>_xlfn.XLOOKUP($W29,'[1]EM Multiples'!$C$58:$C$106,'[1]EM Multiples'!O$58:O$106)</f>
        <v>11.910679811890954</v>
      </c>
      <c r="AD29" s="330">
        <f>_xlfn.XLOOKUP($W29,'[1]EM Multiples'!$C$58:$C$106,'[1]EM Multiples'!P$58:P$106)</f>
        <v>9.1027319895063101</v>
      </c>
      <c r="AE29" s="330">
        <f>_xlfn.XLOOKUP($W29,'[1]EM Multiples'!$C$58:$C$106,'[1]EM Multiples'!Q$58:Q$106)</f>
        <v>7.0436616508212619</v>
      </c>
      <c r="AF29" s="330">
        <f>_xlfn.XLOOKUP($W29,'[1]EM Multiples'!$C$58:$C$106,'[1]EM Multiples'!R$58:R$106)</f>
        <v>5.9088259286025338</v>
      </c>
      <c r="AH29" s="513">
        <f>_xlfn.XLOOKUP($W29,'[2]FCFE charts'!$B$43:$B$70,'[2]FCFE charts'!D$43:D$70)</f>
        <v>-3.9719076383224521E-2</v>
      </c>
      <c r="AI29" s="513">
        <f>_xlfn.XLOOKUP($W29,'[2]FCFE charts'!$B$43:$B$70,'[2]FCFE charts'!E$43:E$70)</f>
        <v>2.6395025087670623E-2</v>
      </c>
      <c r="AJ29" s="513">
        <f>_xlfn.XLOOKUP($W29,'[2]FCFE charts'!$B$43:$B$70,'[2]FCFE charts'!F$43:F$70)</f>
        <v>4.6255074455258428E-2</v>
      </c>
      <c r="AK29" s="513">
        <f>_xlfn.XLOOKUP($W29,'[2]FCFE charts'!$B$43:$B$70,'[2]FCFE charts'!G$43:G$70)</f>
        <v>6.3064187059711868E-2</v>
      </c>
      <c r="AM29" s="519" t="s">
        <v>578</v>
      </c>
      <c r="AN29" s="526">
        <v>6.8673042483527178</v>
      </c>
      <c r="AO29" s="526">
        <v>5.5567126970678844</v>
      </c>
      <c r="AP29" s="526">
        <v>4.427774357546971</v>
      </c>
      <c r="AQ29" s="526">
        <v>3.6091904447272767</v>
      </c>
      <c r="AS29" s="519" t="s">
        <v>578</v>
      </c>
      <c r="AT29" s="526">
        <v>14.449330533128457</v>
      </c>
      <c r="AU29" s="526">
        <v>10.753118264232748</v>
      </c>
      <c r="AV29" s="526">
        <v>8.1979854873777498</v>
      </c>
      <c r="AW29" s="526">
        <v>6.7430405377843678</v>
      </c>
      <c r="AY29" s="519" t="s">
        <v>578</v>
      </c>
      <c r="AZ29" s="535">
        <v>2.8850963387843254E-2</v>
      </c>
      <c r="BA29" s="535">
        <v>4.9292807084672714E-2</v>
      </c>
      <c r="BB29" s="535">
        <v>7.8815886938343724E-2</v>
      </c>
      <c r="BC29" s="535">
        <v>9.6317171060269255E-2</v>
      </c>
      <c r="BJ29" s="1" t="s">
        <v>575</v>
      </c>
      <c r="BK29" s="455">
        <v>8.5290029398665794</v>
      </c>
    </row>
    <row r="30" spans="2:63" x14ac:dyDescent="0.2">
      <c r="B30" s="291" t="str" cm="1">
        <f t="array" ref="B30">_xll.FDS($C30,"FG_COMPANY_NAME")</f>
        <v>Liberty Latin America Ltd. Class C</v>
      </c>
      <c r="C30" s="103" t="s">
        <v>561</v>
      </c>
      <c r="D30" s="315" cm="1">
        <f t="array" ref="D30">_xll.FDS($C30,"FG_MKT_VALUE(0,,,USD)")</f>
        <v>1534.7671</v>
      </c>
      <c r="E30" s="310" cm="1">
        <f t="array" ref="E30">_xll.FDS($C30,"FF_NET_DEBT(ANN_R,0,,,,USD,M)")</f>
        <v>7963.6000000000804</v>
      </c>
      <c r="F30" s="310" cm="1">
        <f t="array" ref="F30">_xll.FDS($C30,"FG_ENT_VALUE(0,,,USD)")</f>
        <v>10219.867</v>
      </c>
      <c r="G30" s="310" cm="1">
        <f t="array" ref="G30">_xll.FDS($C30,"FE_ESTIMATE(SALES,MEAN,ANN_ROLL,"&amp;G$6&amp;",0,,,'CURRENCY=USD')")</f>
        <v>4457</v>
      </c>
      <c r="H30" s="310" cm="1">
        <f t="array" ref="H30">_xll.FDS($C30,"FE_ESTIMATE(SALES,MEAN,ANN_ROLL,"&amp;H$6&amp;",0,,,'CURRENCY=USD')")</f>
        <v>4469.0522000000001</v>
      </c>
      <c r="I30" s="310" cm="1">
        <f t="array" ref="I30">_xll.FDS($C30,"FE_ESTIMATE(SALES,MEAN,ANN_ROLL,"&amp;I$6&amp;",0,,,'CURRENCY=USD')")</f>
        <v>4596.8980000000001</v>
      </c>
      <c r="J30" s="310" cm="1">
        <f t="array" ref="J30">_xll.FDS($C30,"FE_ESTIMATE(EBITDA,MEAN,ANN_ROLL,"&amp;J$6&amp;",0,,,'CURRENCY=USD')")</f>
        <v>1443.4</v>
      </c>
      <c r="K30" s="310" cm="1">
        <f t="array" ref="K30">_xll.FDS($C30,"FE_ESTIMATE(EBITDA,MEAN,ANN_ROLL,"&amp;K$6&amp;",0,,,'CURRENCY=USD')")</f>
        <v>1647.5092</v>
      </c>
      <c r="L30" s="310" cm="1">
        <f t="array" ref="L30">_xll.FDS($C30,"FE_ESTIMATE(EBITDA,MEAN,ANN_ROLL,"&amp;L$6&amp;",0,,,'CURRENCY=USD')")</f>
        <v>1741.5006000000001</v>
      </c>
      <c r="M30" s="311">
        <f t="shared" si="34"/>
        <v>0.32385012340139108</v>
      </c>
      <c r="N30" s="311">
        <f t="shared" si="35"/>
        <v>0.36864845749620018</v>
      </c>
      <c r="O30" s="311">
        <f t="shared" si="36"/>
        <v>0.37884255861235122</v>
      </c>
      <c r="P30" s="312">
        <f t="shared" si="37"/>
        <v>2.2929923715503704</v>
      </c>
      <c r="Q30" s="312">
        <f t="shared" si="38"/>
        <v>2.2868085989239506</v>
      </c>
      <c r="R30" s="312">
        <f t="shared" si="39"/>
        <v>2.2232094338399504</v>
      </c>
      <c r="S30" s="312">
        <f t="shared" si="40"/>
        <v>7.0804122211445195</v>
      </c>
      <c r="T30" s="312">
        <f t="shared" si="41"/>
        <v>6.2032230229731038</v>
      </c>
      <c r="U30" s="312">
        <f t="shared" si="42"/>
        <v>5.8684257702811014</v>
      </c>
      <c r="V30" s="136"/>
      <c r="W30" s="521" t="s">
        <v>579</v>
      </c>
      <c r="X30" s="522">
        <f>_xlfn.XLOOKUP($W30,'[1]EM Multiples'!$C:$C,'[1]EM Multiples'!I:I)</f>
        <v>5.5990467942438977</v>
      </c>
      <c r="Y30" s="522">
        <f>_xlfn.XLOOKUP($W30,'[1]EM Multiples'!$C:$C,'[1]EM Multiples'!J:J)</f>
        <v>4.8299878567930854</v>
      </c>
      <c r="Z30" s="522">
        <f>_xlfn.XLOOKUP($W30,'[1]EM Multiples'!$C:$C,'[1]EM Multiples'!K:K)</f>
        <v>4.2536251038328636</v>
      </c>
      <c r="AA30" s="522">
        <f>_xlfn.XLOOKUP($W30,'[1]EM Multiples'!$C:$C,'[1]EM Multiples'!L:L)</f>
        <v>3.6771008705226107</v>
      </c>
      <c r="AC30" s="330">
        <f>_xlfn.XLOOKUP($W30,'[1]EM Multiples'!$C$58:$C$106,'[1]EM Multiples'!O$58:O$106)</f>
        <v>13.198900653175555</v>
      </c>
      <c r="AD30" s="330">
        <f>_xlfn.XLOOKUP($W30,'[1]EM Multiples'!$C$58:$C$106,'[1]EM Multiples'!P$58:P$106)</f>
        <v>12.189653410036168</v>
      </c>
      <c r="AE30" s="330">
        <f>_xlfn.XLOOKUP($W30,'[1]EM Multiples'!$C$58:$C$106,'[1]EM Multiples'!Q$58:Q$106)</f>
        <v>11.647795806610562</v>
      </c>
      <c r="AF30" s="330">
        <f>_xlfn.XLOOKUP($W30,'[1]EM Multiples'!$C$58:$C$106,'[1]EM Multiples'!R$58:R$106)</f>
        <v>11.133595465196825</v>
      </c>
      <c r="AH30" s="513">
        <f>_xlfn.XLOOKUP($W30,'[2]FCFE charts'!$B$43:$B$70,'[2]FCFE charts'!D$43:D$70)</f>
        <v>1.1477430739470043E-2</v>
      </c>
      <c r="AI30" s="513">
        <f>_xlfn.XLOOKUP($W30,'[2]FCFE charts'!$B$43:$B$70,'[2]FCFE charts'!E$43:E$70)</f>
        <v>3.3545616502988262E-2</v>
      </c>
      <c r="AJ30" s="513">
        <f>_xlfn.XLOOKUP($W30,'[2]FCFE charts'!$B$43:$B$70,'[2]FCFE charts'!F$43:F$70)</f>
        <v>3.7902294310440433E-2</v>
      </c>
      <c r="AK30" s="513">
        <f>_xlfn.XLOOKUP($W30,'[2]FCFE charts'!$B$43:$B$70,'[2]FCFE charts'!G$43:G$70)</f>
        <v>4.2385966043972656E-2</v>
      </c>
      <c r="AM30" s="521" t="s">
        <v>579</v>
      </c>
      <c r="AN30" s="527">
        <v>5.1321498404943915</v>
      </c>
      <c r="AO30" s="527">
        <v>4.4015383006360871</v>
      </c>
      <c r="AP30" s="527">
        <v>3.8454062252087078</v>
      </c>
      <c r="AQ30" s="527">
        <v>3.2873579524683993</v>
      </c>
      <c r="AS30" s="521" t="s">
        <v>579</v>
      </c>
      <c r="AT30" s="527">
        <v>12.126198479949272</v>
      </c>
      <c r="AU30" s="527">
        <v>11.198974864344182</v>
      </c>
      <c r="AV30" s="527">
        <v>10.701155158016769</v>
      </c>
      <c r="AW30" s="527">
        <v>10.228744950357505</v>
      </c>
      <c r="AY30" s="521" t="s">
        <v>579</v>
      </c>
      <c r="AZ30" s="536">
        <v>4.9161646175169403E-2</v>
      </c>
      <c r="BA30" s="536">
        <v>6.3319240062049489E-2</v>
      </c>
      <c r="BB30" s="536">
        <v>7.3261873677562539E-2</v>
      </c>
      <c r="BC30" s="536">
        <v>8.3062687443763494E-2</v>
      </c>
      <c r="BJ30" s="1" t="s">
        <v>573</v>
      </c>
      <c r="BK30" s="455">
        <v>9.4082975941296958</v>
      </c>
    </row>
    <row r="31" spans="2:63" x14ac:dyDescent="0.2">
      <c r="B31" s="291" t="str" cm="1">
        <f t="array" ref="B31">_xll.FDS($C31,"FG_COMPANY_NAME")</f>
        <v>Millicom International Cellular SA</v>
      </c>
      <c r="C31" s="103" t="s">
        <v>502</v>
      </c>
      <c r="D31" s="315" cm="1">
        <f t="array" ref="D31">_xll.FDS($C31,"FG_MKT_VALUE(0,,,USD)")</f>
        <v>7319.2420000000002</v>
      </c>
      <c r="E31" s="310" cm="1">
        <f t="array" ref="E31">_xll.FDS($C31,"FF_NET_DEBT(ANN_R,0,,,,USD,M)")</f>
        <v>6013.0000000363798</v>
      </c>
      <c r="F31" s="310" cm="1">
        <f t="array" ref="F31">_xll.FDS($C31,"FG_ENT_VALUE(0,,,USD)")</f>
        <v>13878.242</v>
      </c>
      <c r="G31" s="310" cm="1">
        <f t="array" ref="G31">_xll.FDS($C31,"FE_ESTIMATE(SALES,MEAN,ANN_ROLL,"&amp;G$6&amp;",0,,,'CURRENCY=USD')")</f>
        <v>5804</v>
      </c>
      <c r="H31" s="310" cm="1">
        <f t="array" ref="H31">_xll.FDS($C31,"FE_ESTIMATE(SALES,MEAN,ANN_ROLL,"&amp;H$6&amp;",0,,,'CURRENCY=USD')")</f>
        <v>5568.6940000000004</v>
      </c>
      <c r="I31" s="310" cm="1">
        <f t="array" ref="I31">_xll.FDS($C31,"FE_ESTIMATE(SALES,MEAN,ANN_ROLL,"&amp;I$6&amp;",0,,,'CURRENCY=USD')")</f>
        <v>5690.3554999999997</v>
      </c>
      <c r="J31" s="310" cm="1">
        <f t="array" ref="J31">_xll.FDS($C31,"FE_ESTIMATE(EBITDA,MEAN,ANN_ROLL,"&amp;J$6&amp;",0,,,'CURRENCY=USD')")</f>
        <v>2531.5619999999999</v>
      </c>
      <c r="K31" s="310" cm="1">
        <f t="array" ref="K31">_xll.FDS($C31,"FE_ESTIMATE(EBITDA,MEAN,ANN_ROLL,"&amp;K$6&amp;",0,,,'CURRENCY=USD')")</f>
        <v>2557.6729999999998</v>
      </c>
      <c r="L31" s="310" cm="1">
        <f t="array" ref="L31">_xll.FDS($C31,"FE_ESTIMATE(EBITDA,MEAN,ANN_ROLL,"&amp;L$6&amp;",0,,,'CURRENCY=USD')")</f>
        <v>2606.6442999999999</v>
      </c>
      <c r="M31" s="311">
        <f t="shared" si="34"/>
        <v>0.43617539627842866</v>
      </c>
      <c r="N31" s="311">
        <f t="shared" si="35"/>
        <v>0.45929494420056116</v>
      </c>
      <c r="O31" s="311">
        <f t="shared" si="36"/>
        <v>0.45808109879953901</v>
      </c>
      <c r="P31" s="312">
        <f t="shared" si="37"/>
        <v>2.3911512749827706</v>
      </c>
      <c r="Q31" s="312">
        <f t="shared" si="38"/>
        <v>2.4921897306621621</v>
      </c>
      <c r="R31" s="312">
        <f t="shared" si="39"/>
        <v>2.4389059699345674</v>
      </c>
      <c r="S31" s="312">
        <f t="shared" si="40"/>
        <v>5.4820865536771368</v>
      </c>
      <c r="T31" s="312">
        <f t="shared" si="41"/>
        <v>5.4261205400377612</v>
      </c>
      <c r="U31" s="312">
        <f t="shared" si="42"/>
        <v>5.3241794440461252</v>
      </c>
      <c r="V31" s="136"/>
      <c r="W31" s="519" t="s">
        <v>580</v>
      </c>
      <c r="X31" s="520">
        <f>_xlfn.XLOOKUP($W31,'[1]EM Multiples'!$C:$C,'[1]EM Multiples'!I:I)</f>
        <v>6.7909993616247419</v>
      </c>
      <c r="Y31" s="520">
        <f>_xlfn.XLOOKUP($W31,'[1]EM Multiples'!$C:$C,'[1]EM Multiples'!J:J)</f>
        <v>5.6034552138284139</v>
      </c>
      <c r="Z31" s="520">
        <f>_xlfn.XLOOKUP($W31,'[1]EM Multiples'!$C:$C,'[1]EM Multiples'!K:K)</f>
        <v>4.4930596192991583</v>
      </c>
      <c r="AA31" s="520">
        <f>_xlfn.XLOOKUP($W31,'[1]EM Multiples'!$C:$C,'[1]EM Multiples'!L:L)</f>
        <v>3.6104399859302978</v>
      </c>
      <c r="AC31" s="330">
        <f>_xlfn.XLOOKUP($W31,'[1]EM Multiples'!$C$58:$C$106,'[1]EM Multiples'!O$58:O$106)</f>
        <v>13.353988204515177</v>
      </c>
      <c r="AD31" s="330">
        <f>_xlfn.XLOOKUP($W31,'[1]EM Multiples'!$C$58:$C$106,'[1]EM Multiples'!P$58:P$106)</f>
        <v>11.05577332549885</v>
      </c>
      <c r="AE31" s="330">
        <f>_xlfn.XLOOKUP($W31,'[1]EM Multiples'!$C$58:$C$106,'[1]EM Multiples'!Q$58:Q$106)</f>
        <v>9.31990021961394</v>
      </c>
      <c r="AF31" s="330">
        <f>_xlfn.XLOOKUP($W31,'[1]EM Multiples'!$C$58:$C$106,'[1]EM Multiples'!R$58:R$106)</f>
        <v>7.9312508509224608</v>
      </c>
      <c r="AH31" s="513">
        <f>_xlfn.XLOOKUP($W31,'[2]FCFE charts'!$B$43:$B$70,'[2]FCFE charts'!D$43:D$70)</f>
        <v>5.8585039582928905E-2</v>
      </c>
      <c r="AI31" s="513">
        <f>_xlfn.XLOOKUP($W31,'[2]FCFE charts'!$B$43:$B$70,'[2]FCFE charts'!E$43:E$70)</f>
        <v>6.9649578920396221E-2</v>
      </c>
      <c r="AJ31" s="513">
        <f>_xlfn.XLOOKUP($W31,'[2]FCFE charts'!$B$43:$B$70,'[2]FCFE charts'!F$43:F$70)</f>
        <v>7.8504377413921189E-2</v>
      </c>
      <c r="AK31" s="513">
        <f>_xlfn.XLOOKUP($W31,'[2]FCFE charts'!$B$43:$B$70,'[2]FCFE charts'!G$43:G$70)</f>
        <v>9.1800483465341115E-2</v>
      </c>
      <c r="AM31" s="519" t="s">
        <v>580</v>
      </c>
      <c r="AN31" s="526">
        <v>6.8147790094556253</v>
      </c>
      <c r="AO31" s="526">
        <v>5.4668389571791769</v>
      </c>
      <c r="AP31" s="526">
        <v>4.3339860592282173</v>
      </c>
      <c r="AQ31" s="526">
        <v>3.4587631232805478</v>
      </c>
      <c r="AS31" s="519" t="s">
        <v>580</v>
      </c>
      <c r="AT31" s="526">
        <v>12.447098363752717</v>
      </c>
      <c r="AU31" s="526">
        <v>9.7608218311679789</v>
      </c>
      <c r="AV31" s="526">
        <v>8.3891646035616976</v>
      </c>
      <c r="AW31" s="526">
        <v>7.2477857084105279</v>
      </c>
      <c r="AY31" s="519" t="s">
        <v>580</v>
      </c>
      <c r="AZ31" s="535">
        <v>7.3324074746682094E-2</v>
      </c>
      <c r="BA31" s="535">
        <v>8.6666178487661449E-2</v>
      </c>
      <c r="BB31" s="535">
        <v>9.9659653255617681E-2</v>
      </c>
      <c r="BC31" s="535">
        <v>0.10970622574027036</v>
      </c>
      <c r="BJ31" s="1" t="s">
        <v>567</v>
      </c>
      <c r="BK31" s="455">
        <v>12.271011336183793</v>
      </c>
    </row>
    <row r="32" spans="2:63" x14ac:dyDescent="0.2">
      <c r="B32" s="291" t="str" cm="1">
        <f t="array" ref="B32">_xll.FDS($C32,"FG_COMPANY_NAME")</f>
        <v>TIM S.A.</v>
      </c>
      <c r="C32" s="103" t="s">
        <v>562</v>
      </c>
      <c r="D32" s="315" cm="1">
        <f t="array" ref="D32">_xll.FDS($C32,"FG_MKT_VALUE(0,,,USD)")</f>
        <v>10037.142</v>
      </c>
      <c r="E32" s="310" cm="1">
        <f t="array" ref="E32">_xll.FDS($C32,"FF_NET_DEBT(ANN_R,0,,,,USD,M)")</f>
        <v>1605.4393273815101</v>
      </c>
      <c r="F32" s="310" cm="1">
        <f t="array" ref="F32">_xll.FDS($C32,"FG_ENT_VALUE(0,,,USD)")</f>
        <v>12006.718999999999</v>
      </c>
      <c r="G32" s="310" cm="1">
        <f t="array" ref="G32">_xll.FDS($C32,"FE_ESTIMATE(SALES,MEAN,ANN_ROLL,"&amp;G$6&amp;",0,,,'CURRENCY=USD')")</f>
        <v>4404.7372999999998</v>
      </c>
      <c r="H32" s="310" cm="1">
        <f t="array" ref="H32">_xll.FDS($C32,"FE_ESTIMATE(SALES,MEAN,ANN_ROLL,"&amp;H$6&amp;",0,,,'CURRENCY=USD')")</f>
        <v>4871.1009999999997</v>
      </c>
      <c r="I32" s="310" cm="1">
        <f t="array" ref="I32">_xll.FDS($C32,"FE_ESTIMATE(SALES,MEAN,ANN_ROLL,"&amp;I$6&amp;",0,,,'CURRENCY=USD')")</f>
        <v>5096.4423999999999</v>
      </c>
      <c r="J32" s="310" cm="1">
        <f t="array" ref="J32">_xll.FDS($C32,"FE_ESTIMATE(EBITDA,MEAN,ANN_ROLL,"&amp;J$6&amp;",0,,,'CURRENCY=USD')")</f>
        <v>2207.9575</v>
      </c>
      <c r="K32" s="310" cm="1">
        <f t="array" ref="K32">_xll.FDS($C32,"FE_ESTIMATE(EBITDA,MEAN,ANN_ROLL,"&amp;K$6&amp;",0,,,'CURRENCY=USD')")</f>
        <v>2449.6646000000001</v>
      </c>
      <c r="L32" s="310" cm="1">
        <f t="array" ref="L32">_xll.FDS($C32,"FE_ESTIMATE(EBITDA,MEAN,ANN_ROLL,"&amp;L$6&amp;",0,,,'CURRENCY=USD')")</f>
        <v>2590.4794999999999</v>
      </c>
      <c r="M32" s="311">
        <f t="shared" si="34"/>
        <v>0.50126882708759957</v>
      </c>
      <c r="N32" s="311">
        <f t="shared" si="35"/>
        <v>0.50289751741957311</v>
      </c>
      <c r="O32" s="311">
        <f t="shared" si="36"/>
        <v>0.50829172522385424</v>
      </c>
      <c r="P32" s="312">
        <f t="shared" si="37"/>
        <v>2.7258649454531603</v>
      </c>
      <c r="Q32" s="312">
        <f t="shared" si="38"/>
        <v>2.4648881228289046</v>
      </c>
      <c r="R32" s="312">
        <f t="shared" si="39"/>
        <v>2.3559020307970124</v>
      </c>
      <c r="S32" s="312">
        <f t="shared" si="40"/>
        <v>5.4379303043650067</v>
      </c>
      <c r="T32" s="312">
        <f t="shared" si="41"/>
        <v>4.9013726205620145</v>
      </c>
      <c r="U32" s="312">
        <f t="shared" si="42"/>
        <v>4.6349407513165035</v>
      </c>
      <c r="V32" s="136"/>
      <c r="W32" s="521" t="s">
        <v>582</v>
      </c>
      <c r="X32" s="522">
        <f>_xlfn.XLOOKUP($W32,'[1]EM Multiples'!$C:$C,'[1]EM Multiples'!I:I)</f>
        <v>5.4903925925851285</v>
      </c>
      <c r="Y32" s="522">
        <f>_xlfn.XLOOKUP($W32,'[1]EM Multiples'!$C:$C,'[1]EM Multiples'!J:J)</f>
        <v>4.7144853996049312</v>
      </c>
      <c r="Z32" s="522">
        <f>_xlfn.XLOOKUP($W32,'[1]EM Multiples'!$C:$C,'[1]EM Multiples'!K:K)</f>
        <v>4.3065970230940867</v>
      </c>
      <c r="AA32" s="522">
        <f>_xlfn.XLOOKUP($W32,'[1]EM Multiples'!$C:$C,'[1]EM Multiples'!L:L)</f>
        <v>3.9124231656173909</v>
      </c>
      <c r="AC32" s="330">
        <f>_xlfn.XLOOKUP($W32,'[1]EM Multiples'!$C$58:$C$106,'[1]EM Multiples'!O$58:O$106)</f>
        <v>13.940457965116725</v>
      </c>
      <c r="AD32" s="330">
        <f>_xlfn.XLOOKUP($W32,'[1]EM Multiples'!$C$58:$C$106,'[1]EM Multiples'!P$58:P$106)</f>
        <v>11.131211144350045</v>
      </c>
      <c r="AE32" s="330">
        <f>_xlfn.XLOOKUP($W32,'[1]EM Multiples'!$C$58:$C$106,'[1]EM Multiples'!Q$58:Q$106)</f>
        <v>9.8617531931895535</v>
      </c>
      <c r="AF32" s="330">
        <f>_xlfn.XLOOKUP($W32,'[1]EM Multiples'!$C$58:$C$106,'[1]EM Multiples'!R$58:R$106)</f>
        <v>8.9738074251319553</v>
      </c>
      <c r="AH32" s="513">
        <f>_xlfn.XLOOKUP($W32,'[2]FCFE charts'!$B$43:$B$70,'[2]FCFE charts'!D$43:D$70)</f>
        <v>1.424194451050906E-2</v>
      </c>
      <c r="AI32" s="513">
        <f>_xlfn.XLOOKUP($W32,'[2]FCFE charts'!$B$43:$B$70,'[2]FCFE charts'!E$43:E$70)</f>
        <v>7.7054711690599395E-2</v>
      </c>
      <c r="AJ32" s="513">
        <f>_xlfn.XLOOKUP($W32,'[2]FCFE charts'!$B$43:$B$70,'[2]FCFE charts'!F$43:F$70)</f>
        <v>8.4878864002042059E-2</v>
      </c>
      <c r="AK32" s="513">
        <f>_xlfn.XLOOKUP($W32,'[2]FCFE charts'!$B$43:$B$70,'[2]FCFE charts'!G$43:G$70)</f>
        <v>9.0647902000867128E-2</v>
      </c>
      <c r="AM32" s="521" t="s">
        <v>582</v>
      </c>
      <c r="AN32" s="527">
        <v>4.8868201559616873</v>
      </c>
      <c r="AO32" s="527">
        <v>4.4170872085816271</v>
      </c>
      <c r="AP32" s="527">
        <v>4.0776013060378213</v>
      </c>
      <c r="AQ32" s="527">
        <v>3.6587100733458442</v>
      </c>
      <c r="AS32" s="521" t="s">
        <v>582</v>
      </c>
      <c r="AT32" s="527">
        <v>11.55987813549301</v>
      </c>
      <c r="AU32" s="527">
        <v>9.8755916367775249</v>
      </c>
      <c r="AV32" s="527">
        <v>8.7849546127539799</v>
      </c>
      <c r="AW32" s="527">
        <v>7.9886966618791186</v>
      </c>
      <c r="AY32" s="521" t="s">
        <v>582</v>
      </c>
      <c r="AZ32" s="536">
        <v>8.6913494807152936E-2</v>
      </c>
      <c r="BA32" s="536">
        <v>8.4940049531473008E-2</v>
      </c>
      <c r="BB32" s="536">
        <v>0.10139638248804796</v>
      </c>
      <c r="BC32" s="536">
        <v>0.1150944486753244</v>
      </c>
      <c r="BJ32" s="1" t="s">
        <v>568</v>
      </c>
      <c r="BK32" s="455">
        <v>14.110738615920308</v>
      </c>
    </row>
    <row r="33" spans="1:63" x14ac:dyDescent="0.2">
      <c r="B33" s="291" t="str" cm="1">
        <f t="array" ref="B33">_xll.FDS($C33,"FG_COMPANY_NAME")</f>
        <v>Telefonica Brasil S.A.</v>
      </c>
      <c r="C33" s="103" t="s">
        <v>563</v>
      </c>
      <c r="D33" s="315" cm="1">
        <f t="array" ref="D33">_xll.FDS($C33,"FG_MKT_VALUE(0,,,USD)")</f>
        <v>19463.537</v>
      </c>
      <c r="E33" s="310" cm="1">
        <f t="array" ref="E33">_xll.FDS($C33,"FF_NET_DEBT(ANN_R,0,,,,USD,M)")</f>
        <v>2250.6923102370001</v>
      </c>
      <c r="F33" s="310" cm="1">
        <f t="array" ref="F33">_xll.FDS($C33,"FG_ENT_VALUE(0,,,USD)")</f>
        <v>21446.145</v>
      </c>
      <c r="G33" s="310" cm="1">
        <f t="array" ref="G33">_xll.FDS($C33,"FE_ESTIMATE(SALES,MEAN,ANN_ROLL,"&amp;G$6&amp;",0,,,'CURRENCY=USD')")</f>
        <v>9661.5149999999994</v>
      </c>
      <c r="H33" s="310" cm="1">
        <f t="array" ref="H33">_xll.FDS($C33,"FE_ESTIMATE(SALES,MEAN,ANN_ROLL,"&amp;H$6&amp;",0,,,'CURRENCY=USD')")</f>
        <v>10838.565000000001</v>
      </c>
      <c r="I33" s="310" cm="1">
        <f t="array" ref="I33">_xll.FDS($C33,"FE_ESTIMATE(SALES,MEAN,ANN_ROLL,"&amp;I$6&amp;",0,,,'CURRENCY=USD')")</f>
        <v>11399.288</v>
      </c>
      <c r="J33" s="310" cm="1">
        <f t="array" ref="J33">_xll.FDS($C33,"FE_ESTIMATE(EBITDA,MEAN,ANN_ROLL,"&amp;J$6&amp;",0,,,'CURRENCY=USD')")</f>
        <v>4009.9922000000001</v>
      </c>
      <c r="K33" s="310" cm="1">
        <f t="array" ref="K33">_xll.FDS($C33,"FE_ESTIMATE(EBITDA,MEAN,ANN_ROLL,"&amp;K$6&amp;",0,,,'CURRENCY=USD')")</f>
        <v>4482.3423000000003</v>
      </c>
      <c r="L33" s="310" cm="1">
        <f t="array" ref="L33">_xll.FDS($C33,"FE_ESTIMATE(EBITDA,MEAN,ANN_ROLL,"&amp;L$6&amp;",0,,,'CURRENCY=USD')")</f>
        <v>4875.0874000000003</v>
      </c>
      <c r="M33" s="311">
        <f t="shared" si="34"/>
        <v>0.41504797125502579</v>
      </c>
      <c r="N33" s="311">
        <f t="shared" si="35"/>
        <v>0.41355495861306363</v>
      </c>
      <c r="O33" s="311">
        <f t="shared" si="36"/>
        <v>0.42766595597900503</v>
      </c>
      <c r="P33" s="312">
        <f t="shared" si="37"/>
        <v>2.2197496976405877</v>
      </c>
      <c r="Q33" s="312">
        <f t="shared" si="38"/>
        <v>1.9786885994594303</v>
      </c>
      <c r="R33" s="312">
        <f t="shared" si="39"/>
        <v>1.8813582918512104</v>
      </c>
      <c r="S33" s="312">
        <f t="shared" si="40"/>
        <v>5.3481762383477953</v>
      </c>
      <c r="T33" s="312">
        <f t="shared" si="41"/>
        <v>4.7845843901747527</v>
      </c>
      <c r="U33" s="312">
        <f t="shared" si="42"/>
        <v>4.3991303622577105</v>
      </c>
      <c r="V33" s="136"/>
      <c r="W33" s="519" t="s">
        <v>979</v>
      </c>
      <c r="X33" s="520">
        <f>_xlfn.XLOOKUP($W33,'[1]EM Multiples'!$C:$C,'[1]EM Multiples'!I:I)</f>
        <v>6.1203607017506387</v>
      </c>
      <c r="Y33" s="520">
        <f>_xlfn.XLOOKUP($W33,'[1]EM Multiples'!$C:$C,'[1]EM Multiples'!J:J)</f>
        <v>5.6137548306285838</v>
      </c>
      <c r="Z33" s="520">
        <f>_xlfn.XLOOKUP($W33,'[1]EM Multiples'!$C:$C,'[1]EM Multiples'!K:K)</f>
        <v>5.1966698060463559</v>
      </c>
      <c r="AA33" s="520">
        <f>_xlfn.XLOOKUP($W33,'[1]EM Multiples'!$C:$C,'[1]EM Multiples'!L:L)</f>
        <v>4.7737291880354951</v>
      </c>
      <c r="AC33" s="330">
        <f>_xlfn.XLOOKUP($W33,'[1]EM Multiples'!$C$58:$C$106,'[1]EM Multiples'!O$58:O$106)</f>
        <v>-160.55898823250428</v>
      </c>
      <c r="AD33" s="330">
        <f>_xlfn.XLOOKUP($W33,'[1]EM Multiples'!$C$58:$C$106,'[1]EM Multiples'!P$58:P$106)</f>
        <v>10.148513324518547</v>
      </c>
      <c r="AE33" s="330">
        <f>_xlfn.XLOOKUP($W33,'[1]EM Multiples'!$C$58:$C$106,'[1]EM Multiples'!Q$58:Q$106)</f>
        <v>6.2356304216734495</v>
      </c>
      <c r="AF33" s="330">
        <f>_xlfn.XLOOKUP($W33,'[1]EM Multiples'!$C$58:$C$106,'[1]EM Multiples'!R$58:R$106)</f>
        <v>4.820603800696083</v>
      </c>
      <c r="AH33" s="514">
        <v>0.16660092028535645</v>
      </c>
      <c r="AI33" s="514">
        <v>0.20517360579893631</v>
      </c>
      <c r="AJ33" s="514">
        <v>0.2294437289273677</v>
      </c>
      <c r="AK33" s="514">
        <v>0.25749140165384254</v>
      </c>
      <c r="AM33" s="519" t="s">
        <v>979</v>
      </c>
      <c r="AN33" s="526">
        <v>5.7524209476105126</v>
      </c>
      <c r="AO33" s="526">
        <v>5.16120843448775</v>
      </c>
      <c r="AP33" s="526">
        <v>4.7062385362240997</v>
      </c>
      <c r="AQ33" s="526">
        <v>4.3454464714388044</v>
      </c>
      <c r="AS33" s="519" t="s">
        <v>979</v>
      </c>
      <c r="AT33" s="526">
        <v>15.418293648628046</v>
      </c>
      <c r="AU33" s="526">
        <v>7.5609592425359509</v>
      </c>
      <c r="AV33" s="526">
        <v>4.7722686607492459</v>
      </c>
      <c r="AW33" s="526">
        <v>3.3725714488986829</v>
      </c>
      <c r="AY33" s="519" t="s">
        <v>979</v>
      </c>
      <c r="AZ33" s="535">
        <v>0.16660092028535645</v>
      </c>
      <c r="BA33" s="535">
        <v>0.20517360579893631</v>
      </c>
      <c r="BB33" s="535">
        <v>0.2294437289273677</v>
      </c>
      <c r="BC33" s="535">
        <v>0.25749140165384254</v>
      </c>
    </row>
    <row r="34" spans="1:63" x14ac:dyDescent="0.2">
      <c r="D34" s="8"/>
      <c r="E34" s="8"/>
      <c r="F34" s="8"/>
      <c r="G34" s="8"/>
      <c r="H34" s="8"/>
      <c r="I34" s="8"/>
      <c r="J34" s="8"/>
      <c r="K34" s="8"/>
      <c r="L34" s="8"/>
      <c r="M34" s="8"/>
      <c r="N34" s="8"/>
      <c r="O34" s="8"/>
      <c r="P34" s="8"/>
      <c r="Q34" s="8"/>
      <c r="R34" s="8"/>
      <c r="S34" s="8"/>
      <c r="T34" s="8"/>
      <c r="U34" s="8"/>
      <c r="W34" s="521" t="s">
        <v>584</v>
      </c>
      <c r="X34" s="522">
        <f>_xlfn.XLOOKUP($W34,'[1]EM Multiples'!$C:$C,'[1]EM Multiples'!I:I)</f>
        <v>6.4289611217866307</v>
      </c>
      <c r="Y34" s="522">
        <f>_xlfn.XLOOKUP($W34,'[1]EM Multiples'!$C:$C,'[1]EM Multiples'!J:J)</f>
        <v>6.2268159054539494</v>
      </c>
      <c r="Z34" s="522">
        <f>_xlfn.XLOOKUP($W34,'[1]EM Multiples'!$C:$C,'[1]EM Multiples'!K:K)</f>
        <v>5.8666649160164965</v>
      </c>
      <c r="AA34" s="522">
        <f>_xlfn.XLOOKUP($W34,'[1]EM Multiples'!$C:$C,'[1]EM Multiples'!L:L)</f>
        <v>5.4967996342848338</v>
      </c>
      <c r="AC34" s="330">
        <f>_xlfn.XLOOKUP($W34,'[1]EM Multiples'!$C$58:$C$106,'[1]EM Multiples'!O$58:O$106)</f>
        <v>18.524721378461891</v>
      </c>
      <c r="AD34" s="330">
        <f>_xlfn.XLOOKUP($W34,'[1]EM Multiples'!$C$58:$C$106,'[1]EM Multiples'!P$58:P$106)</f>
        <v>11.18954388025117</v>
      </c>
      <c r="AE34" s="330">
        <f>_xlfn.XLOOKUP($W34,'[1]EM Multiples'!$C$58:$C$106,'[1]EM Multiples'!Q$58:Q$106)</f>
        <v>11.129987261256904</v>
      </c>
      <c r="AF34" s="330">
        <f>_xlfn.XLOOKUP($W34,'[1]EM Multiples'!$C$58:$C$106,'[1]EM Multiples'!R$58:R$106)</f>
        <v>10.522491895386485</v>
      </c>
      <c r="AH34" s="513">
        <f>_xlfn.XLOOKUP($W34,'[2]FCFE charts'!$B$43:$B$70,'[2]FCFE charts'!D$43:D$70)</f>
        <v>8.8999669865714393E-2</v>
      </c>
      <c r="AI34" s="513">
        <f>_xlfn.XLOOKUP($W34,'[2]FCFE charts'!$B$43:$B$70,'[2]FCFE charts'!E$43:E$70)</f>
        <v>9.2696940567060723E-2</v>
      </c>
      <c r="AJ34" s="513">
        <f>_xlfn.XLOOKUP($W34,'[2]FCFE charts'!$B$43:$B$70,'[2]FCFE charts'!F$43:F$70)</f>
        <v>9.517283386630121E-2</v>
      </c>
      <c r="AK34" s="513">
        <f>_xlfn.XLOOKUP($W34,'[2]FCFE charts'!$B$43:$B$70,'[2]FCFE charts'!G$43:G$70)</f>
        <v>9.9661514187705691E-2</v>
      </c>
      <c r="AM34" s="521" t="s">
        <v>584</v>
      </c>
      <c r="AN34" s="527">
        <v>5.9271709611527923</v>
      </c>
      <c r="AO34" s="527">
        <v>5.7166665583424416</v>
      </c>
      <c r="AP34" s="527">
        <v>5.3615975013546713</v>
      </c>
      <c r="AQ34" s="527">
        <v>4.9997428336805694</v>
      </c>
      <c r="AS34" s="521" t="s">
        <v>584</v>
      </c>
      <c r="AT34" s="527">
        <v>15.691739841732494</v>
      </c>
      <c r="AU34" s="527">
        <v>9.3715089352620442</v>
      </c>
      <c r="AV34" s="527">
        <v>9.2523173051759766</v>
      </c>
      <c r="AW34" s="527">
        <v>8.6947936773460395</v>
      </c>
      <c r="AY34" s="521" t="s">
        <v>584</v>
      </c>
      <c r="AZ34" s="536">
        <v>0.10241729390789332</v>
      </c>
      <c r="BA34" s="536">
        <v>0.10665351799879418</v>
      </c>
      <c r="BB34" s="536">
        <v>0.11602057674691228</v>
      </c>
      <c r="BC34" s="536">
        <v>0.12389031755675815</v>
      </c>
      <c r="BJ34" s="37" t="s">
        <v>588</v>
      </c>
      <c r="BK34" s="330">
        <f>Summary!N38</f>
        <v>4.9144460028609513</v>
      </c>
    </row>
    <row r="35" spans="1:63" x14ac:dyDescent="0.2">
      <c r="D35" s="8"/>
      <c r="E35" s="8"/>
      <c r="F35" s="8"/>
      <c r="G35" s="8"/>
      <c r="H35" s="8"/>
      <c r="I35" s="8"/>
      <c r="J35" s="8"/>
      <c r="K35" s="8"/>
      <c r="L35" s="8"/>
      <c r="M35" s="8"/>
      <c r="N35" s="8"/>
      <c r="O35" s="8"/>
      <c r="P35" s="8"/>
      <c r="Q35" s="8"/>
      <c r="R35" s="8"/>
      <c r="S35" s="8"/>
      <c r="T35" s="8"/>
      <c r="U35" s="8"/>
      <c r="W35" s="519" t="s">
        <v>585</v>
      </c>
      <c r="X35" s="520">
        <f>_xlfn.XLOOKUP($W35,'[1]EM Multiples'!$C:$C,'[1]EM Multiples'!I:I)</f>
        <v>3.1925268115282992</v>
      </c>
      <c r="Y35" s="520">
        <f>_xlfn.XLOOKUP($W35,'[1]EM Multiples'!$C:$C,'[1]EM Multiples'!J:J)</f>
        <v>2.5676255874554035</v>
      </c>
      <c r="Z35" s="520">
        <f>_xlfn.XLOOKUP($W35,'[1]EM Multiples'!$C:$C,'[1]EM Multiples'!K:K)</f>
        <v>1.9679602661021389</v>
      </c>
      <c r="AA35" s="520">
        <f>_xlfn.XLOOKUP($W35,'[1]EM Multiples'!$C:$C,'[1]EM Multiples'!L:L)</f>
        <v>1.4006467995771625</v>
      </c>
      <c r="AC35" s="330">
        <f>_xlfn.XLOOKUP($W35,'[1]EM Multiples'!$C$58:$C$106,'[1]EM Multiples'!O$58:O$106)</f>
        <v>7.9419801075897674</v>
      </c>
      <c r="AD35" s="330">
        <f>_xlfn.XLOOKUP($W35,'[1]EM Multiples'!$C$58:$C$106,'[1]EM Multiples'!P$58:P$106)</f>
        <v>6.823530115274635</v>
      </c>
      <c r="AE35" s="330">
        <f>_xlfn.XLOOKUP($W35,'[1]EM Multiples'!$C$58:$C$106,'[1]EM Multiples'!Q$58:Q$106)</f>
        <v>5.6592042868342585</v>
      </c>
      <c r="AF35" s="330">
        <f>_xlfn.XLOOKUP($W35,'[1]EM Multiples'!$C$58:$C$106,'[1]EM Multiples'!R$58:R$106)</f>
        <v>4.8023281653951555</v>
      </c>
      <c r="AH35" s="513">
        <f>_xlfn.XLOOKUP($W35,'[2]FCFE charts'!$B$43:$B$70,'[2]FCFE charts'!D$43:D$70)</f>
        <v>7.1127188050459034E-2</v>
      </c>
      <c r="AI35" s="513">
        <f>_xlfn.XLOOKUP($W35,'[2]FCFE charts'!$B$43:$B$70,'[2]FCFE charts'!E$43:E$70)</f>
        <v>8.0338360464201355E-2</v>
      </c>
      <c r="AJ35" s="513">
        <f>_xlfn.XLOOKUP($W35,'[2]FCFE charts'!$B$43:$B$70,'[2]FCFE charts'!F$43:F$70)</f>
        <v>0.10182240537856503</v>
      </c>
      <c r="AK35" s="513">
        <f>_xlfn.XLOOKUP($W35,'[2]FCFE charts'!$B$43:$B$70,'[2]FCFE charts'!G$43:G$70)</f>
        <v>0.11751521303584715</v>
      </c>
      <c r="AM35" s="519" t="s">
        <v>585</v>
      </c>
      <c r="AN35" s="526">
        <v>3.1759041005933506</v>
      </c>
      <c r="AO35" s="526">
        <v>2.5930531619773833</v>
      </c>
      <c r="AP35" s="526">
        <v>2.0342451094741478</v>
      </c>
      <c r="AQ35" s="526">
        <v>1.5060049155747657</v>
      </c>
      <c r="AS35" s="519" t="s">
        <v>585</v>
      </c>
      <c r="AT35" s="526">
        <v>8.2450083585082279</v>
      </c>
      <c r="AU35" s="526">
        <v>7.1237435004530534</v>
      </c>
      <c r="AV35" s="526">
        <v>6.0864195282609428</v>
      </c>
      <c r="AW35" s="526">
        <v>5.345785724079243</v>
      </c>
      <c r="AY35" s="519" t="s">
        <v>585</v>
      </c>
      <c r="AZ35" s="535">
        <v>8.5096821696681452E-2</v>
      </c>
      <c r="BA35" s="535">
        <v>0.10980268859474203</v>
      </c>
      <c r="BB35" s="535">
        <v>0.12444247134333596</v>
      </c>
      <c r="BC35" s="535">
        <v>0.13638807750284809</v>
      </c>
    </row>
    <row r="36" spans="1:63" x14ac:dyDescent="0.2">
      <c r="A36" s="1" t="s">
        <v>22</v>
      </c>
      <c r="B36" s="142" t="s">
        <v>472</v>
      </c>
      <c r="C36" s="143"/>
      <c r="D36" s="309"/>
      <c r="E36" s="309"/>
      <c r="F36" s="309"/>
      <c r="G36" s="309"/>
      <c r="H36" s="309"/>
      <c r="I36" s="309"/>
      <c r="J36" s="309"/>
      <c r="K36" s="309"/>
      <c r="L36" s="309"/>
      <c r="M36" s="309"/>
      <c r="N36" s="309"/>
      <c r="O36" s="309"/>
      <c r="P36" s="309"/>
      <c r="Q36" s="309"/>
      <c r="R36" s="309"/>
      <c r="S36" s="309"/>
      <c r="T36" s="309"/>
      <c r="U36" s="309"/>
      <c r="W36" s="523" t="s">
        <v>586</v>
      </c>
      <c r="X36" s="524">
        <f>_xlfn.XLOOKUP($W36,'[1]EM Multiples'!$C:$C,'[1]EM Multiples'!I:I)</f>
        <v>4.6078701950954049</v>
      </c>
      <c r="Y36" s="524">
        <f>_xlfn.XLOOKUP($W36,'[1]EM Multiples'!$C:$C,'[1]EM Multiples'!J:J)</f>
        <v>3.9338516115471029</v>
      </c>
      <c r="Z36" s="524">
        <f>_xlfn.XLOOKUP($W36,'[1]EM Multiples'!$C:$C,'[1]EM Multiples'!K:K)</f>
        <v>3.4926023102812103</v>
      </c>
      <c r="AA36" s="524">
        <f>_xlfn.XLOOKUP($W36,'[1]EM Multiples'!$C:$C,'[1]EM Multiples'!L:L)</f>
        <v>2.8656548787091114</v>
      </c>
      <c r="AC36" s="330">
        <f>_xlfn.XLOOKUP($W36,'[1]EM Multiples'!$C$58:$C$106,'[1]EM Multiples'!O$58:O$106)</f>
        <v>16.691377591178263</v>
      </c>
      <c r="AD36" s="330">
        <f>_xlfn.XLOOKUP($W36,'[1]EM Multiples'!$C$58:$C$106,'[1]EM Multiples'!P$58:P$106)</f>
        <v>13.270697508185885</v>
      </c>
      <c r="AE36" s="330">
        <f>_xlfn.XLOOKUP($W36,'[1]EM Multiples'!$C$58:$C$106,'[1]EM Multiples'!Q$58:Q$106)</f>
        <v>10.349403861905015</v>
      </c>
      <c r="AF36" s="330">
        <f>_xlfn.XLOOKUP($W36,'[1]EM Multiples'!$C$58:$C$106,'[1]EM Multiples'!R$58:R$106)</f>
        <v>8.8882583589401616</v>
      </c>
      <c r="AH36" s="513">
        <f>_xlfn.XLOOKUP($W36,'[2]FCFE charts'!$B$43:$B$70,'[2]FCFE charts'!D$43:D$70)</f>
        <v>7.8714393614570971E-2</v>
      </c>
      <c r="AI36" s="513">
        <f>_xlfn.XLOOKUP($W36,'[2]FCFE charts'!$B$43:$B$70,'[2]FCFE charts'!E$43:E$70)</f>
        <v>7.6970631561552524E-2</v>
      </c>
      <c r="AJ36" s="513">
        <f>_xlfn.XLOOKUP($W36,'[2]FCFE charts'!$B$43:$B$70,'[2]FCFE charts'!F$43:F$70)</f>
        <v>0.10430479423175812</v>
      </c>
      <c r="AK36" s="513">
        <f>_xlfn.XLOOKUP($W36,'[2]FCFE charts'!$B$43:$B$70,'[2]FCFE charts'!G$43:G$70)</f>
        <v>0.12361435054920834</v>
      </c>
      <c r="AM36" s="523" t="s">
        <v>586</v>
      </c>
      <c r="AN36" s="528">
        <v>4.3119836849471858</v>
      </c>
      <c r="AO36" s="528">
        <v>3.704227065644274</v>
      </c>
      <c r="AP36" s="528">
        <v>3.2826431919244357</v>
      </c>
      <c r="AQ36" s="528">
        <v>2.6724256226323</v>
      </c>
      <c r="AS36" s="523" t="s">
        <v>586</v>
      </c>
      <c r="AT36" s="528">
        <v>15.644495455494804</v>
      </c>
      <c r="AU36" s="528">
        <v>12.676206343298308</v>
      </c>
      <c r="AV36" s="528">
        <v>9.8016117007466459</v>
      </c>
      <c r="AW36" s="528">
        <v>8.3929490915513068</v>
      </c>
      <c r="AY36" s="523" t="s">
        <v>586</v>
      </c>
      <c r="AZ36" s="538">
        <v>7.9483748744169386E-2</v>
      </c>
      <c r="BA36" s="538">
        <v>9.9494523725701389E-2</v>
      </c>
      <c r="BB36" s="538">
        <v>0.12116946184030981</v>
      </c>
      <c r="BC36" s="538">
        <v>0.13589923201684725</v>
      </c>
      <c r="BJ36" s="2" t="s">
        <v>589</v>
      </c>
    </row>
    <row r="37" spans="1:63" x14ac:dyDescent="0.2">
      <c r="D37" s="8"/>
      <c r="E37" s="8"/>
      <c r="F37" s="8"/>
      <c r="G37" s="8"/>
      <c r="H37" s="8"/>
      <c r="I37" s="8"/>
      <c r="J37" s="8"/>
      <c r="K37" s="8"/>
      <c r="L37" s="8"/>
      <c r="M37" s="8"/>
      <c r="N37" s="8"/>
      <c r="O37" s="8"/>
      <c r="P37" s="8"/>
      <c r="Q37" s="8"/>
      <c r="R37" s="8"/>
      <c r="S37" s="8"/>
      <c r="T37" s="8"/>
      <c r="U37" s="8"/>
      <c r="AZ37" s="52"/>
      <c r="BA37" s="52"/>
      <c r="BB37" s="52"/>
      <c r="BC37" s="52"/>
      <c r="BJ37" s="2" t="s">
        <v>590</v>
      </c>
      <c r="BK37" s="149">
        <f>AVERAGE(BK10:BK33)</f>
        <v>6.1287741055453875</v>
      </c>
    </row>
    <row r="38" spans="1:63" x14ac:dyDescent="0.2">
      <c r="B38" s="291" t="str" cm="1">
        <f t="array" ref="B38">_xll.FDS($C38,"FG_COMPANY_NAME")</f>
        <v>Uber Technologies, Inc.</v>
      </c>
      <c r="C38" s="103" t="s">
        <v>475</v>
      </c>
      <c r="D38" s="315" cm="1">
        <f t="array" ref="D38">_xll.FDS($C38,"FG_MKT_VALUE(0,,,USD)")</f>
        <v>188897.34</v>
      </c>
      <c r="E38" s="310" cm="1">
        <f t="array" ref="E38">_xll.FDS($C38,"FF_NET_DEBT(ANN_R,0,,,,USD,M)")</f>
        <v>3914</v>
      </c>
      <c r="F38" s="310" cm="1">
        <f t="array" ref="F38">_xll.FDS($C38,"FG_ENT_VALUE(0,,,USD)")</f>
        <v>193710.34</v>
      </c>
      <c r="G38" s="310" cm="1">
        <f t="array" ref="G38">_xll.FDS($C38,"FE_ESTIMATE(SALES,MEAN,ANN_ROLL,"&amp;G$6&amp;",0,,,'CURRENCY=USD')")</f>
        <v>43978</v>
      </c>
      <c r="H38" s="310" cm="1">
        <f t="array" ref="H38">_xll.FDS($C38,"FE_ESTIMATE(SALES,MEAN,ANN_ROLL,"&amp;H$6&amp;",0,,,'CURRENCY=USD')")</f>
        <v>51329.919999999998</v>
      </c>
      <c r="I38" s="310" cm="1">
        <f t="array" ref="I38">_xll.FDS($C38,"FE_ESTIMATE(SALES,MEAN,ANN_ROLL,"&amp;I$6&amp;",0,,,'CURRENCY=USD')")</f>
        <v>59100.203000000001</v>
      </c>
      <c r="J38" s="310" cm="1">
        <f t="array" ref="J38">_xll.FDS($C38,"FE_ESTIMATE(EBITDA,MEAN,ANN_ROLL,"&amp;J$6&amp;",0,,,'CURRENCY=USD')")</f>
        <v>6484</v>
      </c>
      <c r="K38" s="310" cm="1">
        <f t="array" ref="K38">_xll.FDS($C38,"FE_ESTIMATE(EBITDA,MEAN,ANN_ROLL,"&amp;K$6&amp;",0,,,'CURRENCY=USD')")</f>
        <v>8722.4069999999992</v>
      </c>
      <c r="L38" s="310" cm="1">
        <f t="array" ref="L38">_xll.FDS($C38,"FE_ESTIMATE(EBITDA,MEAN,ANN_ROLL,"&amp;L$6&amp;",0,,,'CURRENCY=USD')")</f>
        <v>11065.509</v>
      </c>
      <c r="M38" s="311">
        <f>IFERROR(J38/G38,"")</f>
        <v>0.14743735504115693</v>
      </c>
      <c r="N38" s="311">
        <f t="shared" ref="N38:O38" si="43">IFERROR(K38/H38,"")</f>
        <v>0.16992831861027641</v>
      </c>
      <c r="O38" s="311">
        <f t="shared" si="43"/>
        <v>0.18723301170386841</v>
      </c>
      <c r="P38" s="312">
        <f>IFERROR($F38/G38,"")</f>
        <v>4.4047100823138843</v>
      </c>
      <c r="Q38" s="312">
        <f t="shared" ref="Q38:R38" si="44">IFERROR($F38/H38,"")</f>
        <v>3.773828987070309</v>
      </c>
      <c r="R38" s="312">
        <f t="shared" si="44"/>
        <v>3.2776594692915011</v>
      </c>
      <c r="S38" s="312">
        <f t="shared" ref="S38" si="45">IFERROR($F38/J38,"")</f>
        <v>29.875129549660702</v>
      </c>
      <c r="T38" s="312">
        <f t="shared" ref="T38" si="46">IFERROR($F38/K38,"")</f>
        <v>22.208358312103531</v>
      </c>
      <c r="U38" s="312">
        <f t="shared" ref="U38" si="47">IFERROR($F38/L38,"")</f>
        <v>17.50577763752214</v>
      </c>
      <c r="AD38" s="2"/>
      <c r="AE38" s="149"/>
      <c r="AF38" s="149"/>
      <c r="AG38" s="149"/>
      <c r="AH38" s="149"/>
      <c r="AM38" s="4" t="s">
        <v>118</v>
      </c>
      <c r="AN38" s="530">
        <f>Summary!N38</f>
        <v>4.9144460028609513</v>
      </c>
      <c r="AO38" s="530">
        <f>Summary!O38</f>
        <v>4.6552910304379447</v>
      </c>
      <c r="AP38" s="530">
        <f>Summary!P38</f>
        <v>4.4508003217721219</v>
      </c>
      <c r="AQ38" s="530">
        <f>Summary!Q38</f>
        <v>4.2517535178559953</v>
      </c>
      <c r="AS38" s="4" t="s">
        <v>118</v>
      </c>
      <c r="AT38" s="530">
        <f>Summary!N39</f>
        <v>10.137969525018894</v>
      </c>
      <c r="AU38" s="530">
        <f>Summary!O39</f>
        <v>8.8016120540247389</v>
      </c>
      <c r="AV38" s="530">
        <f>Summary!P39</f>
        <v>8.38624647320664</v>
      </c>
      <c r="AW38" s="530">
        <f>Summary!Q39</f>
        <v>7.8660037595613952</v>
      </c>
      <c r="AY38" s="4" t="s">
        <v>118</v>
      </c>
      <c r="AZ38" s="285">
        <f>Summary!N40</f>
        <v>5.8547308436957587E-2</v>
      </c>
      <c r="BA38" s="285">
        <f>Summary!O40</f>
        <v>6.7799810319065526E-2</v>
      </c>
      <c r="BB38" s="285">
        <f>Summary!P40</f>
        <v>7.4556254344915807E-2</v>
      </c>
      <c r="BC38" s="285">
        <f>Summary!Q40</f>
        <v>8.2682269312740406E-2</v>
      </c>
    </row>
    <row r="39" spans="1:63" x14ac:dyDescent="0.2">
      <c r="B39" s="291" t="str" cm="1">
        <f t="array" ref="B39">_xll.FDS($C39,"FG_COMPANY_NAME")</f>
        <v>Lyft, Inc. Class A</v>
      </c>
      <c r="C39" s="103" t="s">
        <v>476</v>
      </c>
      <c r="D39" s="315" cm="1">
        <f t="array" ref="D39">_xll.FDS($C39,"FG_MKT_VALUE(0,,,USD)")</f>
        <v>5470.7089999999998</v>
      </c>
      <c r="E39" s="310" cm="1">
        <f t="array" ref="E39">_xll.FDS($C39,"FF_NET_DEBT(ANN_R,0,,,,USD,M)")</f>
        <v>-726.51099999999997</v>
      </c>
      <c r="F39" s="310" cm="1">
        <f t="array" ref="F39">_xll.FDS($C39,"FG_ENT_VALUE(0,,,USD)")</f>
        <v>4487.7700000000004</v>
      </c>
      <c r="G39" s="310" cm="1">
        <f t="array" ref="G39">_xll.FDS($C39,"FE_ESTIMATE(SALES,MEAN,ANN_ROLL,"&amp;G$6&amp;",0,,,'CURRENCY=USD')")</f>
        <v>5786</v>
      </c>
      <c r="H39" s="310" cm="1">
        <f t="array" ref="H39">_xll.FDS($C39,"FE_ESTIMATE(SALES,MEAN,ANN_ROLL,"&amp;H$6&amp;",0,,,'CURRENCY=USD')")</f>
        <v>6527.7790000000005</v>
      </c>
      <c r="I39" s="310" cm="1">
        <f t="array" ref="I39">_xll.FDS($C39,"FE_ESTIMATE(SALES,MEAN,ANN_ROLL,"&amp;I$6&amp;",0,,,'CURRENCY=USD')")</f>
        <v>7424.951</v>
      </c>
      <c r="J39" s="310" cm="1">
        <f t="array" ref="J39">_xll.FDS($C39,"FE_ESTIMATE(EBITDA,MEAN,ANN_ROLL,"&amp;J$6&amp;",0,,,'CURRENCY=USD')")</f>
        <v>382.4</v>
      </c>
      <c r="K39" s="310" cm="1">
        <f t="array" ref="K39">_xll.FDS($C39,"FE_ESTIMATE(EBITDA,MEAN,ANN_ROLL,"&amp;K$6&amp;",0,,,'CURRENCY=USD')")</f>
        <v>521.9348</v>
      </c>
      <c r="L39" s="310" cm="1">
        <f t="array" ref="L39">_xll.FDS($C39,"FE_ESTIMATE(EBITDA,MEAN,ANN_ROLL,"&amp;L$6&amp;",0,,,'CURRENCY=USD')")</f>
        <v>663.94934000000001</v>
      </c>
      <c r="M39" s="311">
        <f t="shared" ref="M39:M41" si="48">IFERROR(J39/G39,"")</f>
        <v>6.6090563428966465E-2</v>
      </c>
      <c r="N39" s="311">
        <f t="shared" ref="N39:N41" si="49">IFERROR(K39/H39,"")</f>
        <v>7.9955954391225548E-2</v>
      </c>
      <c r="O39" s="311">
        <f t="shared" ref="O39:O41" si="50">IFERROR(L39/I39,"")</f>
        <v>8.942137665285603E-2</v>
      </c>
      <c r="P39" s="312">
        <f t="shared" ref="P39:P41" si="51">IFERROR($F39/G39,"")</f>
        <v>0.77562564811614254</v>
      </c>
      <c r="Q39" s="312">
        <f t="shared" ref="Q39:Q41" si="52">IFERROR($F39/H39,"")</f>
        <v>0.68748804149160081</v>
      </c>
      <c r="R39" s="312">
        <f t="shared" ref="R39:R41" si="53">IFERROR($F39/I39,"")</f>
        <v>0.60441745676166758</v>
      </c>
      <c r="S39" s="312">
        <f t="shared" ref="S39:S41" si="54">IFERROR($F39/J39,"")</f>
        <v>11.735800209205022</v>
      </c>
      <c r="T39" s="312">
        <f t="shared" ref="T39:T41" si="55">IFERROR($F39/K39,"")</f>
        <v>8.598334504616286</v>
      </c>
      <c r="U39" s="312">
        <f t="shared" ref="U39:U41" si="56">IFERROR($F39/L39,"")</f>
        <v>6.7592054538377893</v>
      </c>
      <c r="AD39" s="2"/>
      <c r="AM39" s="529" t="s">
        <v>990</v>
      </c>
      <c r="AN39" s="531">
        <f>AVERAGE(AN10:AN36)</f>
        <v>5.7827299284656739</v>
      </c>
      <c r="AO39" s="531">
        <f t="shared" ref="AO39:AQ39" si="57">AVERAGE(AO10:AO36)</f>
        <v>5.1065091149549673</v>
      </c>
      <c r="AP39" s="531">
        <f t="shared" si="57"/>
        <v>4.5572577627546949</v>
      </c>
      <c r="AQ39" s="531">
        <f t="shared" si="57"/>
        <v>4.0420149830922183</v>
      </c>
      <c r="AS39" s="529" t="s">
        <v>990</v>
      </c>
      <c r="AT39" s="531">
        <f>AVERAGE(AT10:AT36)</f>
        <v>15.275555653812885</v>
      </c>
      <c r="AU39" s="531">
        <f t="shared" ref="AU39:AW39" si="58">AVERAGE(AU10:AU36)</f>
        <v>12.561678932266441</v>
      </c>
      <c r="AV39" s="531">
        <f t="shared" si="58"/>
        <v>10.822967283013449</v>
      </c>
      <c r="AW39" s="531">
        <f t="shared" si="58"/>
        <v>9.52257772785463</v>
      </c>
      <c r="AY39" s="529" t="s">
        <v>990</v>
      </c>
      <c r="AZ39" s="533">
        <f>AVERAGE(AZ10:AZ36)</f>
        <v>7.4319135805444816E-2</v>
      </c>
      <c r="BA39" s="533">
        <f t="shared" ref="BA39:BC39" si="59">AVERAGE(BA10:BA36)</f>
        <v>8.449061504720573E-2</v>
      </c>
      <c r="BB39" s="533">
        <f t="shared" si="59"/>
        <v>9.8565279397360872E-2</v>
      </c>
      <c r="BC39" s="533">
        <f t="shared" si="59"/>
        <v>0.11203393421699273</v>
      </c>
    </row>
    <row r="40" spans="1:63" x14ac:dyDescent="0.2">
      <c r="B40" s="291" t="str" cm="1">
        <f t="array" ref="B40">_xll.FDS($C40,"FG_COMPANY_NAME")</f>
        <v>Grab Holdings Limited Class A</v>
      </c>
      <c r="C40" s="103" t="s">
        <v>478</v>
      </c>
      <c r="D40" s="315" cm="1">
        <f t="array" ref="D40">_xll.FDS($C40,"FG_MKT_VALUE(0,,,USD)")</f>
        <v>19646.32</v>
      </c>
      <c r="E40" s="310" cm="1">
        <f t="array" ref="E40">_xll.FDS($C40,"FF_NET_DEBT(ANN_R,0,,,,USD,M)")</f>
        <v>-5265</v>
      </c>
      <c r="F40" s="310" cm="1">
        <f t="array" ref="F40">_xll.FDS($C40,"FG_ENT_VALUE(0,,,USD)")</f>
        <v>14401.32</v>
      </c>
      <c r="G40" s="310" cm="1">
        <f t="array" ref="G40">_xll.FDS($C40,"FE_ESTIMATE(SALES,MEAN,ANN_ROLL,"&amp;G$6&amp;",0,,,'CURRENCY=USD')")</f>
        <v>2797</v>
      </c>
      <c r="H40" s="310" cm="1">
        <f t="array" ref="H40">_xll.FDS($C40,"FE_ESTIMATE(SALES,MEAN,ANN_ROLL,"&amp;H$6&amp;",0,,,'CURRENCY=USD')")</f>
        <v>3406.1923999999999</v>
      </c>
      <c r="I40" s="310" cm="1">
        <f t="array" ref="I40">_xll.FDS($C40,"FE_ESTIMATE(SALES,MEAN,ANN_ROLL,"&amp;I$6&amp;",0,,,'CURRENCY=USD')")</f>
        <v>4054.1066999999998</v>
      </c>
      <c r="J40" s="310" cm="1">
        <f t="array" ref="J40">_xll.FDS($C40,"FE_ESTIMATE(EBITDA,MEAN,ANN_ROLL,"&amp;J$6&amp;",0,,,'CURRENCY=USD')")</f>
        <v>313</v>
      </c>
      <c r="K40" s="310" cm="1">
        <f t="array" ref="K40">_xll.FDS($C40,"FE_ESTIMATE(EBITDA,MEAN,ANN_ROLL,"&amp;K$6&amp;",0,,,'CURRENCY=USD')")</f>
        <v>476.41503999999998</v>
      </c>
      <c r="L40" s="310" cm="1">
        <f t="array" ref="L40">_xll.FDS($C40,"FE_ESTIMATE(EBITDA,MEAN,ANN_ROLL,"&amp;L$6&amp;",0,,,'CURRENCY=USD')")</f>
        <v>750.00450000000001</v>
      </c>
      <c r="M40" s="311">
        <f t="shared" si="48"/>
        <v>0.11190561315695388</v>
      </c>
      <c r="N40" s="311">
        <f t="shared" si="49"/>
        <v>0.13986733104095939</v>
      </c>
      <c r="O40" s="311">
        <f t="shared" si="50"/>
        <v>0.18499870760678302</v>
      </c>
      <c r="P40" s="312">
        <f t="shared" si="51"/>
        <v>5.1488451912763677</v>
      </c>
      <c r="Q40" s="312">
        <f t="shared" si="52"/>
        <v>4.2279819542783317</v>
      </c>
      <c r="R40" s="312">
        <f t="shared" si="53"/>
        <v>3.5522794700988012</v>
      </c>
      <c r="S40" s="312">
        <f t="shared" si="54"/>
        <v>46.010607028753995</v>
      </c>
      <c r="T40" s="312">
        <f t="shared" si="55"/>
        <v>30.228516715173392</v>
      </c>
      <c r="U40" s="312">
        <f t="shared" si="56"/>
        <v>19.201644790131258</v>
      </c>
    </row>
    <row r="41" spans="1:63" x14ac:dyDescent="0.2">
      <c r="B41" s="291" t="str" cm="1">
        <f t="array" ref="B41">_xll.FDS($C41,"FG_COMPANY_NAME")</f>
        <v>PT GoTo Gojek Tokopedia Tbk</v>
      </c>
      <c r="C41" s="103" t="s">
        <v>477</v>
      </c>
      <c r="D41" s="315" cm="1">
        <f t="array" ref="D41">_xll.FDS($C41,"FG_MKT_VALUE(0,,,USD)")</f>
        <v>4025.1725999999999</v>
      </c>
      <c r="E41" s="310" cm="1">
        <f t="array" ref="E41">_xll.FDS($C41,"FF_NET_DEBT(ANN_R,0,,,,USD,M)")</f>
        <v>-1062.99603647198</v>
      </c>
      <c r="F41" s="310" cm="1">
        <f t="array" ref="F41">_xll.FDS($C41,"FG_ENT_VALUE(0,,,USD)")</f>
        <v>2832.9843999999998</v>
      </c>
      <c r="G41" s="310" cm="1">
        <f t="array" ref="G41">_xll.FDS($C41,"FE_ESTIMATE(SALES,MEAN,ANN_ROLL,"&amp;G$6&amp;",0,,,'CURRENCY=USD')")</f>
        <v>966.49440000000004</v>
      </c>
      <c r="H41" s="310" cm="1">
        <f t="array" ref="H41">_xll.FDS($C41,"FE_ESTIMATE(SALES,MEAN,ANN_ROLL,"&amp;H$6&amp;",0,,,'CURRENCY=USD')")</f>
        <v>1125.7222999999999</v>
      </c>
      <c r="I41" s="310" cm="1">
        <f t="array" ref="I41">_xll.FDS($C41,"FE_ESTIMATE(SALES,MEAN,ANN_ROLL,"&amp;I$6&amp;",0,,,'CURRENCY=USD')")</f>
        <v>1322.2991</v>
      </c>
      <c r="J41" s="310" cm="1">
        <f t="array" ref="J41">_xll.FDS($C41,"FE_ESTIMATE(EBITDA,MEAN,ANN_ROLL,"&amp;J$6&amp;",0,,,'CURRENCY=USD')")</f>
        <v>19.884464000000001</v>
      </c>
      <c r="K41" s="310" cm="1">
        <f t="array" ref="K41">_xll.FDS($C41,"FE_ESTIMATE(EBITDA,MEAN,ANN_ROLL,"&amp;K$6&amp;",0,,,'CURRENCY=USD')")</f>
        <v>98.687749999999994</v>
      </c>
      <c r="L41" s="310" cm="1">
        <f t="array" ref="L41">_xll.FDS($C41,"FE_ESTIMATE(EBITDA,MEAN,ANN_ROLL,"&amp;L$6&amp;",0,,,'CURRENCY=USD')")</f>
        <v>164.30667</v>
      </c>
      <c r="M41" s="311">
        <f t="shared" si="48"/>
        <v>2.0573801565741096E-2</v>
      </c>
      <c r="N41" s="311">
        <f t="shared" si="49"/>
        <v>8.7666158874173505E-2</v>
      </c>
      <c r="O41" s="311">
        <f t="shared" si="50"/>
        <v>0.12425832400551434</v>
      </c>
      <c r="P41" s="312">
        <f t="shared" si="51"/>
        <v>2.9311958765617261</v>
      </c>
      <c r="Q41" s="312">
        <f t="shared" si="52"/>
        <v>2.5165925912634051</v>
      </c>
      <c r="R41" s="312">
        <f t="shared" si="53"/>
        <v>2.1424686744474073</v>
      </c>
      <c r="S41" s="312">
        <f t="shared" si="54"/>
        <v>142.4722537152623</v>
      </c>
      <c r="T41" s="312">
        <f t="shared" si="55"/>
        <v>28.706545645229525</v>
      </c>
      <c r="U41" s="312">
        <f t="shared" si="56"/>
        <v>17.242053533188884</v>
      </c>
    </row>
    <row r="43" spans="1:63" x14ac:dyDescent="0.2">
      <c r="B43" s="327" t="s">
        <v>167</v>
      </c>
      <c r="C43" s="6"/>
      <c r="D43" s="6"/>
      <c r="E43" s="6"/>
      <c r="F43" s="328">
        <f>155.2/0.97</f>
        <v>160</v>
      </c>
      <c r="G43" s="328">
        <v>65</v>
      </c>
      <c r="H43" s="6"/>
      <c r="I43" s="6"/>
      <c r="J43" s="26">
        <f>F43/20</f>
        <v>8</v>
      </c>
      <c r="K43" s="6"/>
      <c r="L43" s="6"/>
      <c r="M43" s="6"/>
      <c r="N43" s="6"/>
      <c r="O43" s="6"/>
      <c r="P43" s="329">
        <f t="shared" ref="P43" si="60">IFERROR($F43/G43,"")</f>
        <v>2.4615384615384617</v>
      </c>
      <c r="Q43" s="329" t="str">
        <f t="shared" ref="Q43" si="61">IFERROR($F43/H43,"")</f>
        <v/>
      </c>
      <c r="R43" s="329" t="str">
        <f t="shared" ref="R43" si="62">IFERROR($F43/I43,"")</f>
        <v/>
      </c>
      <c r="S43" s="329">
        <f t="shared" ref="S43" si="63">IFERROR($F43/J43,"")</f>
        <v>20</v>
      </c>
      <c r="T43" s="329" t="str">
        <f t="shared" ref="T43" si="64">IFERROR($F43/K43,"")</f>
        <v/>
      </c>
      <c r="U43" s="329" t="str">
        <f t="shared" ref="U43" si="65">IFERROR($F43/L43,"")</f>
        <v/>
      </c>
    </row>
  </sheetData>
  <autoFilter ref="BJ9:BK32" xr:uid="{B7CBE653-8A5A-46E8-9AD6-B16679D71DBD}">
    <sortState xmlns:xlrd2="http://schemas.microsoft.com/office/spreadsheetml/2017/richdata2" ref="BJ10:BK32">
      <sortCondition ref="BK9:BK32"/>
    </sortState>
  </autoFilter>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378DF-DBAC-4F82-A9E4-1F59EF258B3B}">
  <sheetPr>
    <tabColor rgb="FFC00000"/>
  </sheetPr>
  <dimension ref="B2:J160"/>
  <sheetViews>
    <sheetView zoomScaleNormal="100" workbookViewId="0">
      <selection activeCell="J23" sqref="J23"/>
    </sheetView>
  </sheetViews>
  <sheetFormatPr defaultColWidth="8.85546875" defaultRowHeight="12.75" x14ac:dyDescent="0.2"/>
  <cols>
    <col min="1" max="1" width="2.5703125" style="1" customWidth="1"/>
    <col min="2" max="2" width="18.5703125" style="1" customWidth="1"/>
    <col min="3" max="3" width="24.140625" style="1" bestFit="1" customWidth="1"/>
    <col min="4" max="4" width="9.140625" style="1" bestFit="1" customWidth="1"/>
    <col min="5" max="7" width="8.85546875" style="1"/>
    <col min="8" max="9" width="10.140625" style="1" bestFit="1" customWidth="1"/>
    <col min="10" max="16384" width="8.85546875" style="1"/>
  </cols>
  <sheetData>
    <row r="2" spans="2:10" x14ac:dyDescent="0.2">
      <c r="B2" s="34" t="s">
        <v>267</v>
      </c>
    </row>
    <row r="3" spans="2:10" x14ac:dyDescent="0.2">
      <c r="E3" s="1" t="s">
        <v>1051</v>
      </c>
      <c r="F3" s="149" t="str">
        <f ca="1">D9</f>
        <v>#Calc</v>
      </c>
    </row>
    <row r="4" spans="2:10" x14ac:dyDescent="0.2">
      <c r="B4" s="1" t="s">
        <v>1048</v>
      </c>
      <c r="C4" s="318">
        <v>45658</v>
      </c>
      <c r="E4" s="1" t="s">
        <v>1052</v>
      </c>
      <c r="F4" s="149" t="e">
        <f ca="1">_xlfn.XLOOKUP($C$5,$C$9:$C$1048576,$D$9:$D$1048576)</f>
        <v>#N/A</v>
      </c>
    </row>
    <row r="5" spans="2:10" x14ac:dyDescent="0.2">
      <c r="B5" s="1" t="s">
        <v>1049</v>
      </c>
      <c r="C5" s="565">
        <f ca="1">TODAY()-1</f>
        <v>45959</v>
      </c>
      <c r="E5" s="1" t="s">
        <v>148</v>
      </c>
      <c r="F5" s="52" t="str">
        <f ca="1">IFERROR(F4/F3-1,"")</f>
        <v/>
      </c>
    </row>
    <row r="7" spans="2:10" x14ac:dyDescent="0.2">
      <c r="B7" s="564" t="s">
        <v>1050</v>
      </c>
      <c r="C7" s="564"/>
      <c r="D7" s="333" t="s">
        <v>290</v>
      </c>
      <c r="G7" s="1" t="s">
        <v>1051</v>
      </c>
      <c r="H7" s="565">
        <v>45292</v>
      </c>
      <c r="I7" s="565">
        <f>H8</f>
        <v>45657</v>
      </c>
    </row>
    <row r="8" spans="2:10" x14ac:dyDescent="0.2">
      <c r="C8" s="8"/>
      <c r="G8" s="1" t="s">
        <v>1053</v>
      </c>
      <c r="H8" s="565">
        <f>EOMONTH(H7,11)</f>
        <v>45657</v>
      </c>
      <c r="I8" s="565">
        <f ca="1">$C$5</f>
        <v>45959</v>
      </c>
    </row>
    <row r="9" spans="2:10" x14ac:dyDescent="0.2">
      <c r="B9" s="566" t="str" cm="1">
        <f t="array" aca="1" ref="B9" ca="1">_xll.FDS("HTWS-GB","P_DATE("&amp;$C$4&amp;","&amp;$C$5&amp;",D,""DATEI"")")</f>
        <v>#Calc</v>
      </c>
      <c r="C9" s="571" t="e">
        <f ca="1">DATE(YEAR(B9),MONTH(B9),DAY(B9))</f>
        <v>#VALUE!</v>
      </c>
      <c r="D9" s="568" t="str" cm="1">
        <f t="array" aca="1" ref="D9" ca="1">_xll.FDS("","P_EXCH_RATE(USD,"&amp;$D$7&amp;","&amp;$C$4&amp;","&amp;$C$5&amp;")")</f>
        <v>#Calc</v>
      </c>
      <c r="G9" s="1" t="s">
        <v>1047</v>
      </c>
      <c r="H9" s="1" cm="1">
        <f t="array" ref="H9">_xll.FDS($G9,"P_PRICE_AVG("&amp;H$7&amp;","&amp;H$8&amp;")")</f>
        <v>40.192860000000003</v>
      </c>
      <c r="I9" s="1" t="str" cm="1">
        <f t="array" aca="1" ref="I9" ca="1">_xll.FDS($G9,"P_PRICE_AVG("&amp;I$7&amp;","&amp;I$8&amp;")")</f>
        <v>#Calc</v>
      </c>
      <c r="J9" s="52" t="e">
        <f ca="1">H9/I9-1</f>
        <v>#VALUE!</v>
      </c>
    </row>
    <row r="10" spans="2:10" x14ac:dyDescent="0.2">
      <c r="C10" s="571">
        <f t="shared" ref="C10:C73" si="0">DATE(YEAR(B10),MONTH(B10),DAY(B10))</f>
        <v>0</v>
      </c>
      <c r="D10" s="569"/>
    </row>
    <row r="11" spans="2:10" x14ac:dyDescent="0.2">
      <c r="C11" s="571">
        <f t="shared" si="0"/>
        <v>0</v>
      </c>
      <c r="D11" s="569"/>
    </row>
    <row r="12" spans="2:10" x14ac:dyDescent="0.2">
      <c r="C12" s="571">
        <f t="shared" si="0"/>
        <v>0</v>
      </c>
      <c r="D12" s="569"/>
    </row>
    <row r="13" spans="2:10" x14ac:dyDescent="0.2">
      <c r="C13" s="571">
        <f t="shared" si="0"/>
        <v>0</v>
      </c>
      <c r="D13" s="569"/>
      <c r="J13" s="567"/>
    </row>
    <row r="14" spans="2:10" x14ac:dyDescent="0.2">
      <c r="C14" s="571">
        <f t="shared" si="0"/>
        <v>0</v>
      </c>
      <c r="D14" s="569"/>
    </row>
    <row r="15" spans="2:10" x14ac:dyDescent="0.2">
      <c r="C15" s="571">
        <f t="shared" si="0"/>
        <v>0</v>
      </c>
      <c r="D15" s="569"/>
    </row>
    <row r="16" spans="2:10" x14ac:dyDescent="0.2">
      <c r="C16" s="571">
        <f t="shared" si="0"/>
        <v>0</v>
      </c>
      <c r="D16" s="569"/>
    </row>
    <row r="17" spans="3:4" x14ac:dyDescent="0.2">
      <c r="C17" s="571">
        <f t="shared" si="0"/>
        <v>0</v>
      </c>
      <c r="D17" s="569"/>
    </row>
    <row r="18" spans="3:4" x14ac:dyDescent="0.2">
      <c r="C18" s="571">
        <f t="shared" si="0"/>
        <v>0</v>
      </c>
      <c r="D18" s="569"/>
    </row>
    <row r="19" spans="3:4" x14ac:dyDescent="0.2">
      <c r="C19" s="571">
        <f t="shared" si="0"/>
        <v>0</v>
      </c>
      <c r="D19" s="569"/>
    </row>
    <row r="20" spans="3:4" x14ac:dyDescent="0.2">
      <c r="C20" s="571">
        <f t="shared" si="0"/>
        <v>0</v>
      </c>
      <c r="D20" s="569"/>
    </row>
    <row r="21" spans="3:4" x14ac:dyDescent="0.2">
      <c r="C21" s="571">
        <f t="shared" si="0"/>
        <v>0</v>
      </c>
      <c r="D21" s="569"/>
    </row>
    <row r="22" spans="3:4" x14ac:dyDescent="0.2">
      <c r="C22" s="571">
        <f t="shared" si="0"/>
        <v>0</v>
      </c>
      <c r="D22" s="569"/>
    </row>
    <row r="23" spans="3:4" x14ac:dyDescent="0.2">
      <c r="C23" s="571">
        <f t="shared" si="0"/>
        <v>0</v>
      </c>
      <c r="D23" s="569"/>
    </row>
    <row r="24" spans="3:4" x14ac:dyDescent="0.2">
      <c r="C24" s="571">
        <f t="shared" si="0"/>
        <v>0</v>
      </c>
      <c r="D24" s="569"/>
    </row>
    <row r="25" spans="3:4" x14ac:dyDescent="0.2">
      <c r="C25" s="571">
        <f t="shared" si="0"/>
        <v>0</v>
      </c>
      <c r="D25" s="569"/>
    </row>
    <row r="26" spans="3:4" x14ac:dyDescent="0.2">
      <c r="C26" s="571">
        <f t="shared" si="0"/>
        <v>0</v>
      </c>
      <c r="D26" s="569"/>
    </row>
    <row r="27" spans="3:4" x14ac:dyDescent="0.2">
      <c r="C27" s="571">
        <f t="shared" si="0"/>
        <v>0</v>
      </c>
      <c r="D27" s="569"/>
    </row>
    <row r="28" spans="3:4" x14ac:dyDescent="0.2">
      <c r="C28" s="571">
        <f t="shared" si="0"/>
        <v>0</v>
      </c>
      <c r="D28" s="569"/>
    </row>
    <row r="29" spans="3:4" x14ac:dyDescent="0.2">
      <c r="C29" s="571">
        <f t="shared" si="0"/>
        <v>0</v>
      </c>
      <c r="D29" s="569"/>
    </row>
    <row r="30" spans="3:4" x14ac:dyDescent="0.2">
      <c r="C30" s="571">
        <f t="shared" si="0"/>
        <v>0</v>
      </c>
      <c r="D30" s="569"/>
    </row>
    <row r="31" spans="3:4" x14ac:dyDescent="0.2">
      <c r="C31" s="571">
        <f t="shared" si="0"/>
        <v>0</v>
      </c>
      <c r="D31" s="569"/>
    </row>
    <row r="32" spans="3:4" x14ac:dyDescent="0.2">
      <c r="C32" s="571">
        <f t="shared" si="0"/>
        <v>0</v>
      </c>
      <c r="D32" s="569"/>
    </row>
    <row r="33" spans="3:4" x14ac:dyDescent="0.2">
      <c r="C33" s="571">
        <f t="shared" si="0"/>
        <v>0</v>
      </c>
      <c r="D33" s="569"/>
    </row>
    <row r="34" spans="3:4" x14ac:dyDescent="0.2">
      <c r="C34" s="571">
        <f t="shared" si="0"/>
        <v>0</v>
      </c>
      <c r="D34" s="569"/>
    </row>
    <row r="35" spans="3:4" x14ac:dyDescent="0.2">
      <c r="C35" s="571">
        <f t="shared" si="0"/>
        <v>0</v>
      </c>
      <c r="D35" s="569"/>
    </row>
    <row r="36" spans="3:4" x14ac:dyDescent="0.2">
      <c r="C36" s="571">
        <f t="shared" si="0"/>
        <v>0</v>
      </c>
      <c r="D36" s="569"/>
    </row>
    <row r="37" spans="3:4" x14ac:dyDescent="0.2">
      <c r="C37" s="571">
        <f t="shared" si="0"/>
        <v>0</v>
      </c>
      <c r="D37" s="569"/>
    </row>
    <row r="38" spans="3:4" x14ac:dyDescent="0.2">
      <c r="C38" s="571">
        <f t="shared" si="0"/>
        <v>0</v>
      </c>
      <c r="D38" s="569"/>
    </row>
    <row r="39" spans="3:4" x14ac:dyDescent="0.2">
      <c r="C39" s="571">
        <f t="shared" si="0"/>
        <v>0</v>
      </c>
      <c r="D39" s="569"/>
    </row>
    <row r="40" spans="3:4" x14ac:dyDescent="0.2">
      <c r="C40" s="571">
        <f t="shared" si="0"/>
        <v>0</v>
      </c>
      <c r="D40" s="569"/>
    </row>
    <row r="41" spans="3:4" x14ac:dyDescent="0.2">
      <c r="C41" s="571">
        <f t="shared" si="0"/>
        <v>0</v>
      </c>
      <c r="D41" s="569"/>
    </row>
    <row r="42" spans="3:4" x14ac:dyDescent="0.2">
      <c r="C42" s="571">
        <f t="shared" si="0"/>
        <v>0</v>
      </c>
      <c r="D42" s="569"/>
    </row>
    <row r="43" spans="3:4" x14ac:dyDescent="0.2">
      <c r="C43" s="571">
        <f t="shared" si="0"/>
        <v>0</v>
      </c>
      <c r="D43" s="569"/>
    </row>
    <row r="44" spans="3:4" x14ac:dyDescent="0.2">
      <c r="C44" s="571">
        <f t="shared" si="0"/>
        <v>0</v>
      </c>
      <c r="D44" s="569"/>
    </row>
    <row r="45" spans="3:4" x14ac:dyDescent="0.2">
      <c r="C45" s="571">
        <f t="shared" si="0"/>
        <v>0</v>
      </c>
      <c r="D45" s="569"/>
    </row>
    <row r="46" spans="3:4" x14ac:dyDescent="0.2">
      <c r="C46" s="571">
        <f t="shared" si="0"/>
        <v>0</v>
      </c>
      <c r="D46" s="569"/>
    </row>
    <row r="47" spans="3:4" x14ac:dyDescent="0.2">
      <c r="C47" s="571">
        <f t="shared" si="0"/>
        <v>0</v>
      </c>
      <c r="D47" s="569"/>
    </row>
    <row r="48" spans="3:4" x14ac:dyDescent="0.2">
      <c r="C48" s="571">
        <f t="shared" si="0"/>
        <v>0</v>
      </c>
      <c r="D48" s="569"/>
    </row>
    <row r="49" spans="3:4" x14ac:dyDescent="0.2">
      <c r="C49" s="571">
        <f t="shared" si="0"/>
        <v>0</v>
      </c>
      <c r="D49" s="569"/>
    </row>
    <row r="50" spans="3:4" x14ac:dyDescent="0.2">
      <c r="C50" s="571">
        <f t="shared" si="0"/>
        <v>0</v>
      </c>
      <c r="D50" s="569"/>
    </row>
    <row r="51" spans="3:4" x14ac:dyDescent="0.2">
      <c r="C51" s="571">
        <f t="shared" si="0"/>
        <v>0</v>
      </c>
      <c r="D51" s="569"/>
    </row>
    <row r="52" spans="3:4" x14ac:dyDescent="0.2">
      <c r="C52" s="571">
        <f t="shared" si="0"/>
        <v>0</v>
      </c>
      <c r="D52" s="569"/>
    </row>
    <row r="53" spans="3:4" x14ac:dyDescent="0.2">
      <c r="C53" s="571">
        <f t="shared" si="0"/>
        <v>0</v>
      </c>
      <c r="D53" s="569"/>
    </row>
    <row r="54" spans="3:4" x14ac:dyDescent="0.2">
      <c r="C54" s="571">
        <f t="shared" si="0"/>
        <v>0</v>
      </c>
      <c r="D54" s="569"/>
    </row>
    <row r="55" spans="3:4" x14ac:dyDescent="0.2">
      <c r="C55" s="571">
        <f t="shared" si="0"/>
        <v>0</v>
      </c>
      <c r="D55" s="569"/>
    </row>
    <row r="56" spans="3:4" x14ac:dyDescent="0.2">
      <c r="C56" s="571">
        <f t="shared" si="0"/>
        <v>0</v>
      </c>
      <c r="D56" s="569"/>
    </row>
    <row r="57" spans="3:4" x14ac:dyDescent="0.2">
      <c r="C57" s="571">
        <f t="shared" si="0"/>
        <v>0</v>
      </c>
      <c r="D57" s="569"/>
    </row>
    <row r="58" spans="3:4" x14ac:dyDescent="0.2">
      <c r="C58" s="571">
        <f t="shared" si="0"/>
        <v>0</v>
      </c>
      <c r="D58" s="569"/>
    </row>
    <row r="59" spans="3:4" x14ac:dyDescent="0.2">
      <c r="C59" s="571">
        <f t="shared" si="0"/>
        <v>0</v>
      </c>
      <c r="D59" s="569"/>
    </row>
    <row r="60" spans="3:4" x14ac:dyDescent="0.2">
      <c r="C60" s="571">
        <f t="shared" si="0"/>
        <v>0</v>
      </c>
      <c r="D60" s="569"/>
    </row>
    <row r="61" spans="3:4" x14ac:dyDescent="0.2">
      <c r="C61" s="571">
        <f t="shared" si="0"/>
        <v>0</v>
      </c>
      <c r="D61" s="569"/>
    </row>
    <row r="62" spans="3:4" x14ac:dyDescent="0.2">
      <c r="C62" s="571">
        <f t="shared" si="0"/>
        <v>0</v>
      </c>
      <c r="D62" s="569"/>
    </row>
    <row r="63" spans="3:4" x14ac:dyDescent="0.2">
      <c r="C63" s="571">
        <f t="shared" si="0"/>
        <v>0</v>
      </c>
      <c r="D63" s="569"/>
    </row>
    <row r="64" spans="3:4" x14ac:dyDescent="0.2">
      <c r="C64" s="571">
        <f t="shared" si="0"/>
        <v>0</v>
      </c>
      <c r="D64" s="569"/>
    </row>
    <row r="65" spans="3:4" x14ac:dyDescent="0.2">
      <c r="C65" s="571">
        <f t="shared" si="0"/>
        <v>0</v>
      </c>
      <c r="D65" s="569"/>
    </row>
    <row r="66" spans="3:4" x14ac:dyDescent="0.2">
      <c r="C66" s="571">
        <f t="shared" si="0"/>
        <v>0</v>
      </c>
      <c r="D66" s="569"/>
    </row>
    <row r="67" spans="3:4" x14ac:dyDescent="0.2">
      <c r="C67" s="571">
        <f t="shared" si="0"/>
        <v>0</v>
      </c>
      <c r="D67" s="569"/>
    </row>
    <row r="68" spans="3:4" x14ac:dyDescent="0.2">
      <c r="C68" s="571">
        <f t="shared" si="0"/>
        <v>0</v>
      </c>
      <c r="D68" s="569"/>
    </row>
    <row r="69" spans="3:4" x14ac:dyDescent="0.2">
      <c r="C69" s="571">
        <f t="shared" si="0"/>
        <v>0</v>
      </c>
      <c r="D69" s="569"/>
    </row>
    <row r="70" spans="3:4" x14ac:dyDescent="0.2">
      <c r="C70" s="571">
        <f t="shared" si="0"/>
        <v>0</v>
      </c>
      <c r="D70" s="569"/>
    </row>
    <row r="71" spans="3:4" x14ac:dyDescent="0.2">
      <c r="C71" s="571">
        <f t="shared" si="0"/>
        <v>0</v>
      </c>
      <c r="D71" s="569"/>
    </row>
    <row r="72" spans="3:4" x14ac:dyDescent="0.2">
      <c r="C72" s="571">
        <f t="shared" si="0"/>
        <v>0</v>
      </c>
      <c r="D72" s="569"/>
    </row>
    <row r="73" spans="3:4" x14ac:dyDescent="0.2">
      <c r="C73" s="571">
        <f t="shared" si="0"/>
        <v>0</v>
      </c>
      <c r="D73" s="569"/>
    </row>
    <row r="74" spans="3:4" x14ac:dyDescent="0.2">
      <c r="C74" s="571">
        <f t="shared" ref="C74:C137" si="1">DATE(YEAR(B74),MONTH(B74),DAY(B74))</f>
        <v>0</v>
      </c>
      <c r="D74" s="569"/>
    </row>
    <row r="75" spans="3:4" x14ac:dyDescent="0.2">
      <c r="C75" s="571">
        <f t="shared" si="1"/>
        <v>0</v>
      </c>
      <c r="D75" s="569"/>
    </row>
    <row r="76" spans="3:4" x14ac:dyDescent="0.2">
      <c r="C76" s="571">
        <f t="shared" si="1"/>
        <v>0</v>
      </c>
      <c r="D76" s="569"/>
    </row>
    <row r="77" spans="3:4" x14ac:dyDescent="0.2">
      <c r="C77" s="571">
        <f t="shared" si="1"/>
        <v>0</v>
      </c>
      <c r="D77" s="569"/>
    </row>
    <row r="78" spans="3:4" x14ac:dyDescent="0.2">
      <c r="C78" s="571">
        <f t="shared" si="1"/>
        <v>0</v>
      </c>
      <c r="D78" s="569"/>
    </row>
    <row r="79" spans="3:4" x14ac:dyDescent="0.2">
      <c r="C79" s="571">
        <f t="shared" si="1"/>
        <v>0</v>
      </c>
      <c r="D79" s="569"/>
    </row>
    <row r="80" spans="3:4" x14ac:dyDescent="0.2">
      <c r="C80" s="571">
        <f t="shared" si="1"/>
        <v>0</v>
      </c>
      <c r="D80" s="569"/>
    </row>
    <row r="81" spans="3:4" x14ac:dyDescent="0.2">
      <c r="C81" s="571">
        <f t="shared" si="1"/>
        <v>0</v>
      </c>
      <c r="D81" s="569"/>
    </row>
    <row r="82" spans="3:4" x14ac:dyDescent="0.2">
      <c r="C82" s="571">
        <f t="shared" si="1"/>
        <v>0</v>
      </c>
      <c r="D82" s="569"/>
    </row>
    <row r="83" spans="3:4" x14ac:dyDescent="0.2">
      <c r="C83" s="571">
        <f t="shared" si="1"/>
        <v>0</v>
      </c>
      <c r="D83" s="569"/>
    </row>
    <row r="84" spans="3:4" x14ac:dyDescent="0.2">
      <c r="C84" s="571">
        <f t="shared" si="1"/>
        <v>0</v>
      </c>
      <c r="D84" s="569"/>
    </row>
    <row r="85" spans="3:4" x14ac:dyDescent="0.2">
      <c r="C85" s="571">
        <f t="shared" si="1"/>
        <v>0</v>
      </c>
      <c r="D85" s="569"/>
    </row>
    <row r="86" spans="3:4" x14ac:dyDescent="0.2">
      <c r="C86" s="571">
        <f t="shared" si="1"/>
        <v>0</v>
      </c>
      <c r="D86" s="569"/>
    </row>
    <row r="87" spans="3:4" x14ac:dyDescent="0.2">
      <c r="C87" s="571">
        <f t="shared" si="1"/>
        <v>0</v>
      </c>
      <c r="D87" s="569"/>
    </row>
    <row r="88" spans="3:4" x14ac:dyDescent="0.2">
      <c r="C88" s="571">
        <f t="shared" si="1"/>
        <v>0</v>
      </c>
      <c r="D88" s="569"/>
    </row>
    <row r="89" spans="3:4" x14ac:dyDescent="0.2">
      <c r="C89" s="571">
        <f t="shared" si="1"/>
        <v>0</v>
      </c>
      <c r="D89" s="569"/>
    </row>
    <row r="90" spans="3:4" x14ac:dyDescent="0.2">
      <c r="C90" s="571">
        <f t="shared" si="1"/>
        <v>0</v>
      </c>
      <c r="D90" s="569"/>
    </row>
    <row r="91" spans="3:4" x14ac:dyDescent="0.2">
      <c r="C91" s="571">
        <f t="shared" si="1"/>
        <v>0</v>
      </c>
      <c r="D91" s="569"/>
    </row>
    <row r="92" spans="3:4" x14ac:dyDescent="0.2">
      <c r="C92" s="571">
        <f t="shared" si="1"/>
        <v>0</v>
      </c>
      <c r="D92" s="569"/>
    </row>
    <row r="93" spans="3:4" x14ac:dyDescent="0.2">
      <c r="C93" s="571">
        <f t="shared" si="1"/>
        <v>0</v>
      </c>
      <c r="D93" s="569"/>
    </row>
    <row r="94" spans="3:4" x14ac:dyDescent="0.2">
      <c r="C94" s="571">
        <f t="shared" si="1"/>
        <v>0</v>
      </c>
      <c r="D94" s="569"/>
    </row>
    <row r="95" spans="3:4" x14ac:dyDescent="0.2">
      <c r="C95" s="571">
        <f t="shared" si="1"/>
        <v>0</v>
      </c>
      <c r="D95" s="569"/>
    </row>
    <row r="96" spans="3:4" x14ac:dyDescent="0.2">
      <c r="C96" s="571">
        <f t="shared" si="1"/>
        <v>0</v>
      </c>
      <c r="D96" s="569"/>
    </row>
    <row r="97" spans="3:4" x14ac:dyDescent="0.2">
      <c r="C97" s="571">
        <f t="shared" si="1"/>
        <v>0</v>
      </c>
      <c r="D97" s="569"/>
    </row>
    <row r="98" spans="3:4" x14ac:dyDescent="0.2">
      <c r="C98" s="571">
        <f t="shared" si="1"/>
        <v>0</v>
      </c>
      <c r="D98" s="569"/>
    </row>
    <row r="99" spans="3:4" x14ac:dyDescent="0.2">
      <c r="C99" s="571">
        <f t="shared" si="1"/>
        <v>0</v>
      </c>
      <c r="D99" s="569"/>
    </row>
    <row r="100" spans="3:4" x14ac:dyDescent="0.2">
      <c r="C100" s="571">
        <f t="shared" si="1"/>
        <v>0</v>
      </c>
      <c r="D100" s="569"/>
    </row>
    <row r="101" spans="3:4" x14ac:dyDescent="0.2">
      <c r="C101" s="571">
        <f t="shared" si="1"/>
        <v>0</v>
      </c>
      <c r="D101" s="569"/>
    </row>
    <row r="102" spans="3:4" x14ac:dyDescent="0.2">
      <c r="C102" s="571">
        <f t="shared" si="1"/>
        <v>0</v>
      </c>
      <c r="D102" s="569"/>
    </row>
    <row r="103" spans="3:4" x14ac:dyDescent="0.2">
      <c r="C103" s="571">
        <f t="shared" si="1"/>
        <v>0</v>
      </c>
      <c r="D103" s="569"/>
    </row>
    <row r="104" spans="3:4" x14ac:dyDescent="0.2">
      <c r="C104" s="571">
        <f t="shared" si="1"/>
        <v>0</v>
      </c>
      <c r="D104" s="569"/>
    </row>
    <row r="105" spans="3:4" x14ac:dyDescent="0.2">
      <c r="C105" s="571">
        <f t="shared" si="1"/>
        <v>0</v>
      </c>
      <c r="D105" s="569"/>
    </row>
    <row r="106" spans="3:4" x14ac:dyDescent="0.2">
      <c r="C106" s="571">
        <f t="shared" si="1"/>
        <v>0</v>
      </c>
      <c r="D106" s="569"/>
    </row>
    <row r="107" spans="3:4" x14ac:dyDescent="0.2">
      <c r="C107" s="571">
        <f t="shared" si="1"/>
        <v>0</v>
      </c>
      <c r="D107" s="569"/>
    </row>
    <row r="108" spans="3:4" x14ac:dyDescent="0.2">
      <c r="C108" s="571">
        <f t="shared" si="1"/>
        <v>0</v>
      </c>
      <c r="D108" s="569"/>
    </row>
    <row r="109" spans="3:4" x14ac:dyDescent="0.2">
      <c r="C109" s="571">
        <f t="shared" si="1"/>
        <v>0</v>
      </c>
      <c r="D109" s="569"/>
    </row>
    <row r="110" spans="3:4" x14ac:dyDescent="0.2">
      <c r="C110" s="571">
        <f t="shared" si="1"/>
        <v>0</v>
      </c>
      <c r="D110" s="570"/>
    </row>
    <row r="111" spans="3:4" x14ac:dyDescent="0.2">
      <c r="C111" s="571">
        <f t="shared" si="1"/>
        <v>0</v>
      </c>
      <c r="D111" s="570"/>
    </row>
    <row r="112" spans="3:4" x14ac:dyDescent="0.2">
      <c r="C112" s="571">
        <f t="shared" si="1"/>
        <v>0</v>
      </c>
      <c r="D112" s="570"/>
    </row>
    <row r="113" spans="3:4" x14ac:dyDescent="0.2">
      <c r="C113" s="571">
        <f t="shared" si="1"/>
        <v>0</v>
      </c>
      <c r="D113" s="570"/>
    </row>
    <row r="114" spans="3:4" x14ac:dyDescent="0.2">
      <c r="C114" s="571">
        <f t="shared" si="1"/>
        <v>0</v>
      </c>
      <c r="D114" s="570"/>
    </row>
    <row r="115" spans="3:4" x14ac:dyDescent="0.2">
      <c r="C115" s="571">
        <f t="shared" si="1"/>
        <v>0</v>
      </c>
      <c r="D115" s="570"/>
    </row>
    <row r="116" spans="3:4" x14ac:dyDescent="0.2">
      <c r="C116" s="571">
        <f t="shared" si="1"/>
        <v>0</v>
      </c>
      <c r="D116" s="570"/>
    </row>
    <row r="117" spans="3:4" x14ac:dyDescent="0.2">
      <c r="C117" s="571">
        <f t="shared" si="1"/>
        <v>0</v>
      </c>
      <c r="D117" s="570"/>
    </row>
    <row r="118" spans="3:4" x14ac:dyDescent="0.2">
      <c r="C118" s="571">
        <f t="shared" si="1"/>
        <v>0</v>
      </c>
      <c r="D118" s="570"/>
    </row>
    <row r="119" spans="3:4" x14ac:dyDescent="0.2">
      <c r="C119" s="571">
        <f t="shared" si="1"/>
        <v>0</v>
      </c>
      <c r="D119" s="570"/>
    </row>
    <row r="120" spans="3:4" x14ac:dyDescent="0.2">
      <c r="C120" s="571">
        <f t="shared" si="1"/>
        <v>0</v>
      </c>
      <c r="D120" s="570"/>
    </row>
    <row r="121" spans="3:4" x14ac:dyDescent="0.2">
      <c r="C121" s="571">
        <f t="shared" si="1"/>
        <v>0</v>
      </c>
      <c r="D121" s="570"/>
    </row>
    <row r="122" spans="3:4" x14ac:dyDescent="0.2">
      <c r="C122" s="571">
        <f t="shared" si="1"/>
        <v>0</v>
      </c>
      <c r="D122" s="570"/>
    </row>
    <row r="123" spans="3:4" x14ac:dyDescent="0.2">
      <c r="C123" s="571">
        <f t="shared" si="1"/>
        <v>0</v>
      </c>
      <c r="D123" s="570"/>
    </row>
    <row r="124" spans="3:4" x14ac:dyDescent="0.2">
      <c r="C124" s="571">
        <f t="shared" si="1"/>
        <v>0</v>
      </c>
      <c r="D124" s="570"/>
    </row>
    <row r="125" spans="3:4" x14ac:dyDescent="0.2">
      <c r="C125" s="571">
        <f t="shared" si="1"/>
        <v>0</v>
      </c>
      <c r="D125" s="570"/>
    </row>
    <row r="126" spans="3:4" x14ac:dyDescent="0.2">
      <c r="C126" s="571">
        <f t="shared" si="1"/>
        <v>0</v>
      </c>
      <c r="D126" s="570"/>
    </row>
    <row r="127" spans="3:4" x14ac:dyDescent="0.2">
      <c r="C127" s="571">
        <f t="shared" si="1"/>
        <v>0</v>
      </c>
      <c r="D127" s="570"/>
    </row>
    <row r="128" spans="3:4" x14ac:dyDescent="0.2">
      <c r="C128" s="571">
        <f t="shared" si="1"/>
        <v>0</v>
      </c>
      <c r="D128" s="570"/>
    </row>
    <row r="129" spans="3:4" x14ac:dyDescent="0.2">
      <c r="C129" s="571">
        <f t="shared" si="1"/>
        <v>0</v>
      </c>
      <c r="D129" s="570"/>
    </row>
    <row r="130" spans="3:4" x14ac:dyDescent="0.2">
      <c r="C130" s="571">
        <f t="shared" si="1"/>
        <v>0</v>
      </c>
      <c r="D130" s="570"/>
    </row>
    <row r="131" spans="3:4" x14ac:dyDescent="0.2">
      <c r="C131" s="571">
        <f t="shared" si="1"/>
        <v>0</v>
      </c>
      <c r="D131" s="570"/>
    </row>
    <row r="132" spans="3:4" x14ac:dyDescent="0.2">
      <c r="C132" s="571">
        <f t="shared" si="1"/>
        <v>0</v>
      </c>
      <c r="D132" s="570"/>
    </row>
    <row r="133" spans="3:4" x14ac:dyDescent="0.2">
      <c r="C133" s="571">
        <f t="shared" si="1"/>
        <v>0</v>
      </c>
      <c r="D133" s="570"/>
    </row>
    <row r="134" spans="3:4" x14ac:dyDescent="0.2">
      <c r="C134" s="571">
        <f t="shared" si="1"/>
        <v>0</v>
      </c>
      <c r="D134" s="570"/>
    </row>
    <row r="135" spans="3:4" x14ac:dyDescent="0.2">
      <c r="C135" s="571">
        <f t="shared" si="1"/>
        <v>0</v>
      </c>
      <c r="D135" s="570"/>
    </row>
    <row r="136" spans="3:4" x14ac:dyDescent="0.2">
      <c r="C136" s="571">
        <f t="shared" si="1"/>
        <v>0</v>
      </c>
      <c r="D136" s="570"/>
    </row>
    <row r="137" spans="3:4" x14ac:dyDescent="0.2">
      <c r="C137" s="571">
        <f t="shared" si="1"/>
        <v>0</v>
      </c>
      <c r="D137" s="570"/>
    </row>
    <row r="138" spans="3:4" x14ac:dyDescent="0.2">
      <c r="C138" s="571">
        <f t="shared" ref="C138:C160" si="2">DATE(YEAR(B138),MONTH(B138),DAY(B138))</f>
        <v>0</v>
      </c>
      <c r="D138" s="570"/>
    </row>
    <row r="139" spans="3:4" x14ac:dyDescent="0.2">
      <c r="C139" s="571">
        <f t="shared" si="2"/>
        <v>0</v>
      </c>
      <c r="D139" s="570"/>
    </row>
    <row r="140" spans="3:4" x14ac:dyDescent="0.2">
      <c r="C140" s="571">
        <f t="shared" si="2"/>
        <v>0</v>
      </c>
      <c r="D140" s="570"/>
    </row>
    <row r="141" spans="3:4" x14ac:dyDescent="0.2">
      <c r="C141" s="571">
        <f t="shared" si="2"/>
        <v>0</v>
      </c>
      <c r="D141" s="570"/>
    </row>
    <row r="142" spans="3:4" x14ac:dyDescent="0.2">
      <c r="C142" s="571">
        <f t="shared" si="2"/>
        <v>0</v>
      </c>
      <c r="D142" s="570"/>
    </row>
    <row r="143" spans="3:4" x14ac:dyDescent="0.2">
      <c r="C143" s="571">
        <f t="shared" si="2"/>
        <v>0</v>
      </c>
      <c r="D143" s="570"/>
    </row>
    <row r="144" spans="3:4" x14ac:dyDescent="0.2">
      <c r="C144" s="571">
        <f t="shared" si="2"/>
        <v>0</v>
      </c>
      <c r="D144" s="570"/>
    </row>
    <row r="145" spans="3:4" x14ac:dyDescent="0.2">
      <c r="C145" s="571">
        <f t="shared" si="2"/>
        <v>0</v>
      </c>
      <c r="D145" s="570"/>
    </row>
    <row r="146" spans="3:4" x14ac:dyDescent="0.2">
      <c r="C146" s="571">
        <f t="shared" si="2"/>
        <v>0</v>
      </c>
      <c r="D146" s="570"/>
    </row>
    <row r="147" spans="3:4" x14ac:dyDescent="0.2">
      <c r="C147" s="571">
        <f t="shared" si="2"/>
        <v>0</v>
      </c>
      <c r="D147" s="570"/>
    </row>
    <row r="148" spans="3:4" x14ac:dyDescent="0.2">
      <c r="C148" s="571">
        <f t="shared" si="2"/>
        <v>0</v>
      </c>
      <c r="D148" s="570"/>
    </row>
    <row r="149" spans="3:4" x14ac:dyDescent="0.2">
      <c r="C149" s="571">
        <f t="shared" si="2"/>
        <v>0</v>
      </c>
      <c r="D149" s="570"/>
    </row>
    <row r="150" spans="3:4" x14ac:dyDescent="0.2">
      <c r="C150" s="571">
        <f t="shared" si="2"/>
        <v>0</v>
      </c>
      <c r="D150" s="570"/>
    </row>
    <row r="151" spans="3:4" x14ac:dyDescent="0.2">
      <c r="C151" s="571">
        <f t="shared" si="2"/>
        <v>0</v>
      </c>
      <c r="D151" s="570"/>
    </row>
    <row r="152" spans="3:4" x14ac:dyDescent="0.2">
      <c r="C152" s="571">
        <f t="shared" si="2"/>
        <v>0</v>
      </c>
      <c r="D152" s="570"/>
    </row>
    <row r="153" spans="3:4" x14ac:dyDescent="0.2">
      <c r="C153" s="571">
        <f t="shared" si="2"/>
        <v>0</v>
      </c>
      <c r="D153" s="570"/>
    </row>
    <row r="154" spans="3:4" x14ac:dyDescent="0.2">
      <c r="C154" s="571">
        <f t="shared" si="2"/>
        <v>0</v>
      </c>
      <c r="D154" s="570"/>
    </row>
    <row r="155" spans="3:4" x14ac:dyDescent="0.2">
      <c r="C155" s="571">
        <f t="shared" si="2"/>
        <v>0</v>
      </c>
      <c r="D155" s="570"/>
    </row>
    <row r="156" spans="3:4" x14ac:dyDescent="0.2">
      <c r="C156" s="571">
        <f t="shared" si="2"/>
        <v>0</v>
      </c>
      <c r="D156" s="570"/>
    </row>
    <row r="157" spans="3:4" x14ac:dyDescent="0.2">
      <c r="C157" s="571">
        <f t="shared" si="2"/>
        <v>0</v>
      </c>
      <c r="D157" s="570"/>
    </row>
    <row r="158" spans="3:4" x14ac:dyDescent="0.2">
      <c r="C158" s="571">
        <f t="shared" si="2"/>
        <v>0</v>
      </c>
      <c r="D158" s="570"/>
    </row>
    <row r="159" spans="3:4" x14ac:dyDescent="0.2">
      <c r="C159" s="571">
        <f t="shared" si="2"/>
        <v>0</v>
      </c>
      <c r="D159" s="570"/>
    </row>
    <row r="160" spans="3:4" x14ac:dyDescent="0.2">
      <c r="C160" s="571">
        <f t="shared" si="2"/>
        <v>0</v>
      </c>
      <c r="D160" s="57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D0F7-2FE4-4132-8175-A80884BEAFB2}">
  <sheetPr>
    <tabColor theme="0"/>
  </sheetPr>
  <dimension ref="A1:AZ98"/>
  <sheetViews>
    <sheetView tabSelected="1" zoomScaleNormal="100" workbookViewId="0">
      <pane ySplit="3" topLeftCell="A4" activePane="bottomLeft" state="frozen"/>
      <selection activeCell="K14" sqref="K14"/>
      <selection pane="bottomLeft" activeCell="G29" sqref="G29"/>
    </sheetView>
  </sheetViews>
  <sheetFormatPr defaultColWidth="9.140625" defaultRowHeight="15" x14ac:dyDescent="0.3"/>
  <cols>
    <col min="1" max="1" width="2.7109375" style="429" customWidth="1"/>
    <col min="2" max="2" width="21.42578125" style="429" bestFit="1" customWidth="1"/>
    <col min="3" max="3" width="12.42578125" style="429" customWidth="1"/>
    <col min="4" max="16384" width="9.140625" style="429"/>
  </cols>
  <sheetData>
    <row r="1" spans="1:52" s="425" customForma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row>
    <row r="2" spans="1:52" s="425" customFormat="1" ht="54.75" customHeight="1" x14ac:dyDescent="0.3">
      <c r="A2" s="424"/>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row>
    <row r="3" spans="1:52" s="425" customFormat="1" x14ac:dyDescent="0.3">
      <c r="A3" s="423"/>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c r="AQ3" s="424"/>
      <c r="AR3" s="424"/>
      <c r="AS3" s="424"/>
      <c r="AT3" s="424"/>
      <c r="AU3" s="424"/>
      <c r="AV3" s="424"/>
      <c r="AW3" s="424"/>
      <c r="AX3" s="424"/>
      <c r="AY3" s="424"/>
      <c r="AZ3" s="424"/>
    </row>
    <row r="4" spans="1:52" s="428" customFormat="1" ht="16.5" x14ac:dyDescent="0.3">
      <c r="A4" s="426"/>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row>
    <row r="5" spans="1:52" x14ac:dyDescent="0.3">
      <c r="A5" s="428"/>
      <c r="B5" s="428"/>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row>
    <row r="6" spans="1:52" x14ac:dyDescent="0.3">
      <c r="A6" s="428"/>
      <c r="B6" s="430" t="s">
        <v>802</v>
      </c>
      <c r="C6" s="434" t="s">
        <v>1046</v>
      </c>
      <c r="D6" s="431"/>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row>
    <row r="7" spans="1:52" x14ac:dyDescent="0.3">
      <c r="A7" s="428"/>
      <c r="B7" s="431"/>
      <c r="C7" s="431"/>
      <c r="D7" s="431"/>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8"/>
      <c r="AL7" s="428"/>
      <c r="AM7" s="428"/>
      <c r="AN7" s="428"/>
      <c r="AO7" s="428"/>
      <c r="AP7" s="428"/>
      <c r="AQ7" s="428"/>
      <c r="AR7" s="428"/>
      <c r="AS7" s="428"/>
      <c r="AT7" s="428"/>
      <c r="AU7" s="428"/>
      <c r="AV7" s="428"/>
      <c r="AW7" s="428"/>
      <c r="AX7" s="428"/>
      <c r="AY7" s="428"/>
      <c r="AZ7" s="428"/>
    </row>
    <row r="8" spans="1:52" x14ac:dyDescent="0.3">
      <c r="A8" s="428"/>
      <c r="B8" s="430" t="s">
        <v>803</v>
      </c>
      <c r="C8" s="431" t="s">
        <v>1134</v>
      </c>
      <c r="D8" s="431"/>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28"/>
      <c r="AK8" s="428"/>
      <c r="AL8" s="428"/>
      <c r="AM8" s="428"/>
      <c r="AN8" s="428"/>
      <c r="AO8" s="428"/>
      <c r="AP8" s="428"/>
      <c r="AQ8" s="428"/>
      <c r="AR8" s="428"/>
      <c r="AS8" s="428"/>
      <c r="AT8" s="428"/>
      <c r="AU8" s="428"/>
      <c r="AV8" s="428"/>
      <c r="AW8" s="428"/>
      <c r="AX8" s="428"/>
      <c r="AY8" s="428"/>
      <c r="AZ8" s="428"/>
    </row>
    <row r="9" spans="1:52" x14ac:dyDescent="0.3">
      <c r="A9" s="428"/>
      <c r="B9" s="430" t="s">
        <v>389</v>
      </c>
      <c r="C9" s="434" t="s">
        <v>1135</v>
      </c>
      <c r="D9" s="431"/>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row>
    <row r="10" spans="1:52" x14ac:dyDescent="0.3">
      <c r="A10" s="428"/>
      <c r="B10" s="431"/>
      <c r="C10" s="431"/>
      <c r="D10" s="431"/>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row>
    <row r="11" spans="1:52" x14ac:dyDescent="0.3">
      <c r="A11" s="428"/>
      <c r="B11" s="431" t="s">
        <v>804</v>
      </c>
      <c r="C11" s="431" t="s">
        <v>805</v>
      </c>
      <c r="D11" s="431"/>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row>
    <row r="12" spans="1:52" x14ac:dyDescent="0.3">
      <c r="A12" s="428"/>
      <c r="B12" s="431" t="s">
        <v>806</v>
      </c>
      <c r="C12" s="432" t="s">
        <v>807</v>
      </c>
      <c r="D12" s="431"/>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row>
    <row r="13" spans="1:52" x14ac:dyDescent="0.3">
      <c r="A13" s="428"/>
      <c r="B13" s="431" t="s">
        <v>808</v>
      </c>
      <c r="C13" s="433" t="s">
        <v>809</v>
      </c>
      <c r="D13" s="431"/>
      <c r="E13" s="428"/>
      <c r="F13" s="428"/>
      <c r="G13" s="428"/>
      <c r="H13" s="428"/>
      <c r="I13" s="428"/>
      <c r="J13" s="428"/>
      <c r="K13" s="428"/>
      <c r="L13" s="428"/>
      <c r="M13" s="428"/>
      <c r="N13" s="428"/>
      <c r="O13" s="428"/>
      <c r="P13" s="428"/>
      <c r="Q13" s="428"/>
      <c r="R13" s="428"/>
      <c r="S13" s="428"/>
      <c r="T13" s="428"/>
      <c r="U13" s="428"/>
      <c r="V13" s="428"/>
      <c r="W13" s="428"/>
      <c r="X13" s="428"/>
      <c r="Y13" s="428"/>
      <c r="Z13" s="428"/>
      <c r="AA13" s="428"/>
      <c r="AB13" s="428"/>
      <c r="AC13" s="428"/>
      <c r="AD13" s="428"/>
      <c r="AE13" s="428"/>
      <c r="AF13" s="428"/>
      <c r="AG13" s="428"/>
      <c r="AH13" s="428"/>
      <c r="AI13" s="428"/>
      <c r="AJ13" s="428"/>
      <c r="AK13" s="428"/>
      <c r="AL13" s="428"/>
      <c r="AM13" s="428"/>
      <c r="AN13" s="428"/>
      <c r="AO13" s="428"/>
      <c r="AP13" s="428"/>
      <c r="AQ13" s="428"/>
      <c r="AR13" s="428"/>
      <c r="AS13" s="428"/>
      <c r="AT13" s="428"/>
      <c r="AU13" s="428"/>
      <c r="AV13" s="428"/>
      <c r="AW13" s="428"/>
      <c r="AX13" s="428"/>
      <c r="AY13" s="428"/>
      <c r="AZ13" s="428"/>
    </row>
    <row r="14" spans="1:52" x14ac:dyDescent="0.3">
      <c r="A14" s="428"/>
      <c r="B14" s="431"/>
      <c r="C14" s="431"/>
      <c r="D14" s="431"/>
      <c r="E14" s="428"/>
      <c r="F14" s="428"/>
      <c r="G14" s="428"/>
      <c r="H14" s="428"/>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row>
    <row r="15" spans="1:52" x14ac:dyDescent="0.3">
      <c r="A15" s="428"/>
      <c r="B15" s="431" t="s">
        <v>810</v>
      </c>
      <c r="C15" s="431" t="s">
        <v>811</v>
      </c>
      <c r="D15" s="431"/>
      <c r="E15" s="428"/>
      <c r="F15" s="428"/>
      <c r="G15" s="428"/>
      <c r="H15" s="428"/>
      <c r="I15" s="428"/>
      <c r="J15" s="428"/>
      <c r="K15" s="428"/>
      <c r="L15" s="428"/>
      <c r="M15" s="428"/>
      <c r="N15" s="428"/>
      <c r="O15" s="428"/>
      <c r="P15" s="428"/>
      <c r="Q15" s="428"/>
      <c r="R15" s="428"/>
      <c r="S15" s="428"/>
      <c r="T15" s="428"/>
      <c r="U15" s="428"/>
      <c r="V15" s="428"/>
      <c r="W15" s="428"/>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row>
    <row r="16" spans="1:52" x14ac:dyDescent="0.3">
      <c r="A16" s="428"/>
      <c r="B16" s="431" t="s">
        <v>806</v>
      </c>
      <c r="C16" s="432" t="s">
        <v>812</v>
      </c>
      <c r="D16" s="431"/>
      <c r="E16" s="428"/>
      <c r="F16" s="428"/>
      <c r="G16" s="428"/>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8"/>
      <c r="AW16" s="428"/>
      <c r="AX16" s="428"/>
      <c r="AY16" s="428"/>
      <c r="AZ16" s="428"/>
    </row>
    <row r="17" spans="1:52" x14ac:dyDescent="0.3">
      <c r="A17" s="428"/>
      <c r="B17" s="431" t="s">
        <v>808</v>
      </c>
      <c r="C17" s="433" t="s">
        <v>813</v>
      </c>
      <c r="D17" s="431"/>
      <c r="E17" s="428"/>
      <c r="F17" s="428"/>
      <c r="G17" s="428"/>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428"/>
      <c r="AK17" s="428"/>
      <c r="AL17" s="428"/>
      <c r="AM17" s="428"/>
      <c r="AN17" s="428"/>
      <c r="AO17" s="428"/>
      <c r="AP17" s="428"/>
      <c r="AQ17" s="428"/>
      <c r="AR17" s="428"/>
      <c r="AS17" s="428"/>
      <c r="AT17" s="428"/>
      <c r="AU17" s="428"/>
      <c r="AV17" s="428"/>
      <c r="AW17" s="428"/>
      <c r="AX17" s="428"/>
      <c r="AY17" s="428"/>
      <c r="AZ17" s="428"/>
    </row>
    <row r="18" spans="1:52" x14ac:dyDescent="0.3">
      <c r="A18" s="428"/>
      <c r="B18" s="431"/>
      <c r="C18" s="431"/>
      <c r="D18" s="431"/>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c r="AV18" s="428"/>
      <c r="AW18" s="428"/>
      <c r="AX18" s="428"/>
      <c r="AY18" s="428"/>
      <c r="AZ18" s="428"/>
    </row>
    <row r="19" spans="1:52" x14ac:dyDescent="0.3">
      <c r="A19" s="428"/>
      <c r="B19" s="431" t="s">
        <v>814</v>
      </c>
      <c r="C19" s="431" t="s">
        <v>815</v>
      </c>
      <c r="D19" s="431"/>
      <c r="E19" s="428"/>
      <c r="F19" s="428"/>
      <c r="G19" s="428"/>
      <c r="H19" s="428"/>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428"/>
      <c r="AH19" s="428"/>
      <c r="AI19" s="428"/>
      <c r="AJ19" s="428"/>
      <c r="AK19" s="428"/>
      <c r="AL19" s="428"/>
      <c r="AM19" s="428"/>
      <c r="AN19" s="428"/>
      <c r="AO19" s="428"/>
      <c r="AP19" s="428"/>
      <c r="AQ19" s="428"/>
      <c r="AR19" s="428"/>
      <c r="AS19" s="428"/>
      <c r="AT19" s="428"/>
      <c r="AU19" s="428"/>
      <c r="AV19" s="428"/>
      <c r="AW19" s="428"/>
      <c r="AX19" s="428"/>
      <c r="AY19" s="428"/>
      <c r="AZ19" s="428"/>
    </row>
    <row r="20" spans="1:52" x14ac:dyDescent="0.3">
      <c r="A20" s="428"/>
      <c r="B20" s="431" t="s">
        <v>806</v>
      </c>
      <c r="C20" s="432" t="s">
        <v>816</v>
      </c>
      <c r="D20" s="431"/>
      <c r="E20" s="428"/>
      <c r="F20" s="428"/>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8"/>
      <c r="AL20" s="428"/>
      <c r="AM20" s="428"/>
      <c r="AN20" s="428"/>
      <c r="AO20" s="428"/>
      <c r="AP20" s="428"/>
      <c r="AQ20" s="428"/>
      <c r="AR20" s="428"/>
      <c r="AS20" s="428"/>
      <c r="AT20" s="428"/>
      <c r="AU20" s="428"/>
      <c r="AV20" s="428"/>
      <c r="AW20" s="428"/>
      <c r="AX20" s="428"/>
      <c r="AY20" s="428"/>
      <c r="AZ20" s="428"/>
    </row>
    <row r="21" spans="1:52" x14ac:dyDescent="0.3">
      <c r="A21" s="428"/>
      <c r="B21" s="431" t="s">
        <v>808</v>
      </c>
      <c r="C21" s="433" t="s">
        <v>817</v>
      </c>
      <c r="D21" s="431"/>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row>
    <row r="22" spans="1:52" x14ac:dyDescent="0.3">
      <c r="A22" s="428"/>
      <c r="B22" s="428"/>
      <c r="C22" s="428"/>
      <c r="D22" s="428"/>
      <c r="E22" s="428"/>
      <c r="F22" s="428"/>
      <c r="G22" s="428"/>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row>
    <row r="23" spans="1:52" x14ac:dyDescent="0.3">
      <c r="A23" s="428"/>
      <c r="B23" s="428"/>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W23" s="428"/>
      <c r="AX23" s="428"/>
      <c r="AY23" s="428"/>
      <c r="AZ23" s="428"/>
    </row>
    <row r="24" spans="1:52" x14ac:dyDescent="0.3">
      <c r="A24" s="428"/>
      <c r="B24" s="428"/>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8"/>
      <c r="AW24" s="428"/>
      <c r="AX24" s="428"/>
      <c r="AY24" s="428"/>
      <c r="AZ24" s="428"/>
    </row>
    <row r="25" spans="1:52" x14ac:dyDescent="0.3">
      <c r="A25" s="428"/>
      <c r="B25" s="428"/>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8"/>
      <c r="AY25" s="428"/>
      <c r="AZ25" s="428"/>
    </row>
    <row r="26" spans="1:52" x14ac:dyDescent="0.3">
      <c r="A26" s="428"/>
      <c r="B26" s="428"/>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8"/>
      <c r="AW26" s="428"/>
      <c r="AX26" s="428"/>
      <c r="AY26" s="428"/>
      <c r="AZ26" s="428"/>
    </row>
    <row r="27" spans="1:52" x14ac:dyDescent="0.3">
      <c r="A27" s="428"/>
      <c r="B27" s="428"/>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row>
    <row r="28" spans="1:52" x14ac:dyDescent="0.3">
      <c r="A28" s="428"/>
      <c r="B28" s="428"/>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c r="AH28" s="428"/>
      <c r="AI28" s="428"/>
      <c r="AJ28" s="428"/>
      <c r="AK28" s="428"/>
      <c r="AL28" s="428"/>
      <c r="AM28" s="428"/>
      <c r="AN28" s="428"/>
      <c r="AO28" s="428"/>
      <c r="AP28" s="428"/>
      <c r="AQ28" s="428"/>
      <c r="AR28" s="428"/>
      <c r="AS28" s="428"/>
      <c r="AT28" s="428"/>
      <c r="AU28" s="428"/>
      <c r="AV28" s="428"/>
      <c r="AW28" s="428"/>
      <c r="AX28" s="428"/>
      <c r="AY28" s="428"/>
      <c r="AZ28" s="428"/>
    </row>
    <row r="29" spans="1:52" x14ac:dyDescent="0.3">
      <c r="A29" s="428"/>
      <c r="B29" s="428"/>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row>
    <row r="30" spans="1:52" x14ac:dyDescent="0.3">
      <c r="A30" s="428"/>
      <c r="B30" s="428"/>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428"/>
      <c r="AU30" s="428"/>
      <c r="AV30" s="428"/>
      <c r="AW30" s="428"/>
      <c r="AX30" s="428"/>
      <c r="AY30" s="428"/>
      <c r="AZ30" s="428"/>
    </row>
    <row r="31" spans="1:52" x14ac:dyDescent="0.3">
      <c r="A31" s="428"/>
      <c r="B31" s="428"/>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428"/>
      <c r="AT31" s="428"/>
      <c r="AU31" s="428"/>
      <c r="AV31" s="428"/>
      <c r="AW31" s="428"/>
      <c r="AX31" s="428"/>
      <c r="AY31" s="428"/>
      <c r="AZ31" s="428"/>
    </row>
    <row r="32" spans="1:52" x14ac:dyDescent="0.3">
      <c r="A32" s="428"/>
      <c r="B32" s="428"/>
      <c r="C32" s="428"/>
      <c r="D32" s="428"/>
      <c r="E32" s="428"/>
      <c r="F32" s="428"/>
      <c r="G32" s="428"/>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8"/>
      <c r="AI32" s="428"/>
      <c r="AJ32" s="428"/>
      <c r="AK32" s="428"/>
      <c r="AL32" s="428"/>
      <c r="AM32" s="428"/>
      <c r="AN32" s="428"/>
      <c r="AO32" s="428"/>
      <c r="AP32" s="428"/>
      <c r="AQ32" s="428"/>
      <c r="AR32" s="428"/>
      <c r="AS32" s="428"/>
      <c r="AT32" s="428"/>
      <c r="AU32" s="428"/>
      <c r="AV32" s="428"/>
      <c r="AW32" s="428"/>
      <c r="AX32" s="428"/>
      <c r="AY32" s="428"/>
      <c r="AZ32" s="428"/>
    </row>
    <row r="33" spans="1:52" x14ac:dyDescent="0.3">
      <c r="A33" s="428"/>
      <c r="B33" s="428"/>
      <c r="C33" s="428"/>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428"/>
      <c r="AS33" s="428"/>
      <c r="AT33" s="428"/>
      <c r="AU33" s="428"/>
      <c r="AV33" s="428"/>
      <c r="AW33" s="428"/>
      <c r="AX33" s="428"/>
      <c r="AY33" s="428"/>
      <c r="AZ33" s="428"/>
    </row>
    <row r="34" spans="1:52" x14ac:dyDescent="0.3">
      <c r="A34" s="428"/>
      <c r="B34" s="428"/>
      <c r="C34" s="428"/>
      <c r="D34" s="428"/>
      <c r="E34" s="428"/>
      <c r="F34" s="428"/>
      <c r="G34" s="428"/>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row>
    <row r="35" spans="1:52" x14ac:dyDescent="0.3">
      <c r="A35" s="428"/>
      <c r="B35" s="428"/>
      <c r="C35" s="428"/>
      <c r="D35" s="428"/>
      <c r="E35" s="428"/>
      <c r="F35" s="428"/>
      <c r="G35" s="428"/>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row>
    <row r="36" spans="1:52" x14ac:dyDescent="0.3">
      <c r="A36" s="428"/>
      <c r="B36" s="428"/>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row>
    <row r="37" spans="1:52" x14ac:dyDescent="0.3">
      <c r="A37" s="428"/>
      <c r="B37" s="428"/>
      <c r="C37" s="428"/>
      <c r="D37" s="428"/>
      <c r="E37" s="428"/>
      <c r="F37" s="428"/>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row>
    <row r="38" spans="1:52" x14ac:dyDescent="0.3">
      <c r="A38" s="428"/>
      <c r="B38" s="428"/>
      <c r="C38" s="428"/>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28"/>
    </row>
    <row r="39" spans="1:52" x14ac:dyDescent="0.3">
      <c r="A39" s="428"/>
      <c r="B39" s="428"/>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428"/>
    </row>
    <row r="40" spans="1:52" x14ac:dyDescent="0.3">
      <c r="A40" s="428"/>
      <c r="B40" s="428"/>
      <c r="C40" s="428"/>
      <c r="D40" s="428"/>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c r="AJ40" s="428"/>
      <c r="AK40" s="428"/>
      <c r="AL40" s="428"/>
      <c r="AM40" s="428"/>
      <c r="AN40" s="428"/>
      <c r="AO40" s="428"/>
      <c r="AP40" s="428"/>
      <c r="AQ40" s="428"/>
      <c r="AR40" s="428"/>
      <c r="AS40" s="428"/>
      <c r="AT40" s="428"/>
      <c r="AU40" s="428"/>
      <c r="AV40" s="428"/>
      <c r="AW40" s="428"/>
      <c r="AX40" s="428"/>
      <c r="AY40" s="428"/>
      <c r="AZ40" s="428"/>
    </row>
    <row r="41" spans="1:52" x14ac:dyDescent="0.3">
      <c r="A41" s="428"/>
      <c r="B41" s="428"/>
      <c r="C41" s="428"/>
      <c r="D41" s="428"/>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c r="AJ41" s="428"/>
      <c r="AK41" s="428"/>
      <c r="AL41" s="428"/>
      <c r="AM41" s="428"/>
      <c r="AN41" s="428"/>
      <c r="AO41" s="428"/>
      <c r="AP41" s="428"/>
      <c r="AQ41" s="428"/>
      <c r="AR41" s="428"/>
      <c r="AS41" s="428"/>
      <c r="AT41" s="428"/>
      <c r="AU41" s="428"/>
      <c r="AV41" s="428"/>
      <c r="AW41" s="428"/>
      <c r="AX41" s="428"/>
      <c r="AY41" s="428"/>
      <c r="AZ41" s="428"/>
    </row>
    <row r="42" spans="1:52" x14ac:dyDescent="0.3">
      <c r="A42" s="428"/>
      <c r="B42" s="428"/>
      <c r="C42" s="428"/>
      <c r="D42" s="428"/>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c r="AJ42" s="428"/>
      <c r="AK42" s="428"/>
      <c r="AL42" s="428"/>
      <c r="AM42" s="428"/>
      <c r="AN42" s="428"/>
      <c r="AO42" s="428"/>
      <c r="AP42" s="428"/>
      <c r="AQ42" s="428"/>
      <c r="AR42" s="428"/>
      <c r="AS42" s="428"/>
      <c r="AT42" s="428"/>
      <c r="AU42" s="428"/>
      <c r="AV42" s="428"/>
      <c r="AW42" s="428"/>
      <c r="AX42" s="428"/>
      <c r="AY42" s="428"/>
      <c r="AZ42" s="428"/>
    </row>
    <row r="43" spans="1:52" x14ac:dyDescent="0.3">
      <c r="A43" s="428"/>
      <c r="B43" s="428"/>
      <c r="C43" s="428"/>
      <c r="D43" s="428"/>
      <c r="E43" s="428"/>
      <c r="F43" s="428"/>
      <c r="G43" s="428"/>
      <c r="H43" s="428"/>
      <c r="I43" s="428"/>
      <c r="J43" s="428"/>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28"/>
      <c r="AP43" s="428"/>
      <c r="AQ43" s="428"/>
      <c r="AR43" s="428"/>
      <c r="AS43" s="428"/>
      <c r="AT43" s="428"/>
      <c r="AU43" s="428"/>
      <c r="AV43" s="428"/>
      <c r="AW43" s="428"/>
      <c r="AX43" s="428"/>
      <c r="AY43" s="428"/>
      <c r="AZ43" s="428"/>
    </row>
    <row r="44" spans="1:52" x14ac:dyDescent="0.3">
      <c r="A44" s="428"/>
      <c r="B44" s="428"/>
      <c r="C44" s="428"/>
      <c r="D44" s="428"/>
      <c r="E44" s="428"/>
      <c r="F44" s="428"/>
      <c r="G44" s="428"/>
      <c r="H44" s="428"/>
      <c r="I44" s="428"/>
      <c r="J44" s="428"/>
      <c r="K44" s="428"/>
      <c r="L44" s="428"/>
      <c r="M44" s="428"/>
      <c r="N44" s="428"/>
      <c r="O44" s="428"/>
      <c r="P44" s="428"/>
      <c r="Q44" s="428"/>
      <c r="R44" s="428"/>
      <c r="S44" s="428"/>
      <c r="T44" s="428"/>
      <c r="U44" s="428"/>
      <c r="V44" s="428"/>
      <c r="W44" s="428"/>
      <c r="X44" s="428"/>
      <c r="Y44" s="428"/>
      <c r="Z44" s="428"/>
      <c r="AA44" s="428"/>
      <c r="AB44" s="428"/>
      <c r="AC44" s="428"/>
      <c r="AD44" s="428"/>
      <c r="AE44" s="428"/>
      <c r="AF44" s="428"/>
      <c r="AG44" s="428"/>
      <c r="AH44" s="428"/>
      <c r="AI44" s="428"/>
      <c r="AJ44" s="428"/>
      <c r="AK44" s="428"/>
      <c r="AL44" s="428"/>
      <c r="AM44" s="428"/>
      <c r="AN44" s="428"/>
      <c r="AO44" s="428"/>
      <c r="AP44" s="428"/>
      <c r="AQ44" s="428"/>
      <c r="AR44" s="428"/>
      <c r="AS44" s="428"/>
      <c r="AT44" s="428"/>
      <c r="AU44" s="428"/>
      <c r="AV44" s="428"/>
      <c r="AW44" s="428"/>
      <c r="AX44" s="428"/>
      <c r="AY44" s="428"/>
      <c r="AZ44" s="428"/>
    </row>
    <row r="45" spans="1:52" x14ac:dyDescent="0.3">
      <c r="A45" s="428"/>
      <c r="B45" s="428"/>
      <c r="C45" s="428"/>
      <c r="D45" s="428"/>
      <c r="E45" s="428"/>
      <c r="F45" s="428"/>
      <c r="G45" s="428"/>
      <c r="H45" s="428"/>
      <c r="I45" s="428"/>
      <c r="J45" s="428"/>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I45" s="428"/>
      <c r="AJ45" s="428"/>
      <c r="AK45" s="428"/>
      <c r="AL45" s="428"/>
      <c r="AM45" s="428"/>
      <c r="AN45" s="428"/>
      <c r="AO45" s="428"/>
      <c r="AP45" s="428"/>
      <c r="AQ45" s="428"/>
      <c r="AR45" s="428"/>
      <c r="AS45" s="428"/>
      <c r="AT45" s="428"/>
      <c r="AU45" s="428"/>
      <c r="AV45" s="428"/>
      <c r="AW45" s="428"/>
      <c r="AX45" s="428"/>
      <c r="AY45" s="428"/>
      <c r="AZ45" s="428"/>
    </row>
    <row r="46" spans="1:52" x14ac:dyDescent="0.3">
      <c r="A46" s="428"/>
      <c r="B46" s="428"/>
      <c r="C46" s="428"/>
      <c r="D46" s="428"/>
      <c r="E46" s="428"/>
      <c r="F46" s="428"/>
      <c r="G46" s="428"/>
      <c r="H46" s="428"/>
      <c r="I46" s="428"/>
      <c r="J46" s="428"/>
      <c r="K46" s="428"/>
      <c r="L46" s="428"/>
      <c r="M46" s="428"/>
      <c r="N46" s="428"/>
      <c r="O46" s="428"/>
      <c r="P46" s="428"/>
      <c r="Q46" s="428"/>
      <c r="R46" s="428"/>
      <c r="S46" s="428"/>
      <c r="T46" s="428"/>
      <c r="U46" s="428"/>
      <c r="V46" s="428"/>
      <c r="W46" s="428"/>
      <c r="X46" s="428"/>
      <c r="Y46" s="428"/>
      <c r="Z46" s="428"/>
      <c r="AA46" s="428"/>
      <c r="AB46" s="428"/>
      <c r="AC46" s="428"/>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row>
    <row r="47" spans="1:52" x14ac:dyDescent="0.3">
      <c r="A47" s="428"/>
      <c r="B47" s="428"/>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row>
    <row r="48" spans="1:52" x14ac:dyDescent="0.3">
      <c r="A48" s="428"/>
      <c r="B48" s="428"/>
      <c r="C48" s="428"/>
      <c r="D48" s="428"/>
      <c r="E48" s="428"/>
      <c r="F48" s="428"/>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row>
    <row r="49" spans="1:52" x14ac:dyDescent="0.3">
      <c r="A49" s="428"/>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8"/>
      <c r="AW49" s="428"/>
      <c r="AX49" s="428"/>
      <c r="AY49" s="428"/>
      <c r="AZ49" s="428"/>
    </row>
    <row r="50" spans="1:52" x14ac:dyDescent="0.3">
      <c r="A50" s="428"/>
      <c r="B50" s="428"/>
      <c r="C50" s="428"/>
      <c r="D50" s="428"/>
      <c r="E50" s="428"/>
      <c r="F50" s="428"/>
      <c r="G50" s="428"/>
      <c r="H50" s="428"/>
      <c r="I50" s="428"/>
      <c r="J50" s="428"/>
      <c r="K50" s="428"/>
      <c r="L50" s="428"/>
      <c r="M50" s="428"/>
      <c r="N50" s="428"/>
      <c r="O50" s="428"/>
      <c r="P50" s="428"/>
      <c r="Q50" s="428"/>
      <c r="R50" s="428"/>
      <c r="S50" s="428"/>
      <c r="T50" s="428"/>
      <c r="U50" s="428"/>
      <c r="V50" s="428"/>
      <c r="W50" s="428"/>
      <c r="X50" s="428"/>
      <c r="Y50" s="428"/>
      <c r="Z50" s="428"/>
      <c r="AA50" s="428"/>
      <c r="AB50" s="428"/>
      <c r="AC50" s="428"/>
      <c r="AD50" s="428"/>
      <c r="AE50" s="428"/>
      <c r="AF50" s="428"/>
      <c r="AG50" s="428"/>
      <c r="AH50" s="428"/>
      <c r="AI50" s="428"/>
      <c r="AJ50" s="428"/>
      <c r="AK50" s="428"/>
      <c r="AL50" s="428"/>
      <c r="AM50" s="428"/>
      <c r="AN50" s="428"/>
      <c r="AO50" s="428"/>
      <c r="AP50" s="428"/>
      <c r="AQ50" s="428"/>
      <c r="AR50" s="428"/>
      <c r="AS50" s="428"/>
      <c r="AT50" s="428"/>
      <c r="AU50" s="428"/>
      <c r="AV50" s="428"/>
      <c r="AW50" s="428"/>
      <c r="AX50" s="428"/>
      <c r="AY50" s="428"/>
      <c r="AZ50" s="428"/>
    </row>
    <row r="51" spans="1:52" x14ac:dyDescent="0.3">
      <c r="A51" s="428"/>
      <c r="B51" s="428"/>
      <c r="C51" s="428"/>
      <c r="D51" s="428"/>
      <c r="E51" s="428"/>
      <c r="F51" s="428"/>
      <c r="G51" s="428"/>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428"/>
      <c r="AU51" s="428"/>
      <c r="AV51" s="428"/>
      <c r="AW51" s="428"/>
      <c r="AX51" s="428"/>
      <c r="AY51" s="428"/>
      <c r="AZ51" s="428"/>
    </row>
    <row r="52" spans="1:52" x14ac:dyDescent="0.3">
      <c r="A52" s="428"/>
      <c r="B52" s="428"/>
      <c r="C52" s="428"/>
      <c r="D52" s="428"/>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428"/>
      <c r="AU52" s="428"/>
      <c r="AV52" s="428"/>
      <c r="AW52" s="428"/>
      <c r="AX52" s="428"/>
      <c r="AY52" s="428"/>
      <c r="AZ52" s="428"/>
    </row>
    <row r="53" spans="1:52" x14ac:dyDescent="0.3">
      <c r="A53" s="428"/>
      <c r="B53" s="428"/>
      <c r="C53" s="428"/>
      <c r="D53" s="428"/>
      <c r="E53" s="428"/>
      <c r="F53" s="428"/>
      <c r="G53" s="428"/>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428"/>
      <c r="AU53" s="428"/>
      <c r="AV53" s="428"/>
      <c r="AW53" s="428"/>
      <c r="AX53" s="428"/>
      <c r="AY53" s="428"/>
      <c r="AZ53" s="428"/>
    </row>
    <row r="54" spans="1:52" x14ac:dyDescent="0.3">
      <c r="A54" s="428"/>
      <c r="B54" s="428"/>
      <c r="C54" s="428"/>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8"/>
      <c r="AJ54" s="428"/>
      <c r="AK54" s="428"/>
      <c r="AL54" s="428"/>
      <c r="AM54" s="428"/>
      <c r="AN54" s="428"/>
      <c r="AO54" s="428"/>
      <c r="AP54" s="428"/>
      <c r="AQ54" s="428"/>
      <c r="AR54" s="428"/>
      <c r="AS54" s="428"/>
      <c r="AT54" s="428"/>
      <c r="AU54" s="428"/>
      <c r="AV54" s="428"/>
      <c r="AW54" s="428"/>
      <c r="AX54" s="428"/>
      <c r="AY54" s="428"/>
      <c r="AZ54" s="428"/>
    </row>
    <row r="55" spans="1:52" x14ac:dyDescent="0.3">
      <c r="A55" s="428"/>
      <c r="B55" s="428"/>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428"/>
      <c r="AU55" s="428"/>
      <c r="AV55" s="428"/>
      <c r="AW55" s="428"/>
      <c r="AX55" s="428"/>
      <c r="AY55" s="428"/>
      <c r="AZ55" s="428"/>
    </row>
    <row r="56" spans="1:52" x14ac:dyDescent="0.3">
      <c r="A56" s="428"/>
      <c r="B56" s="428"/>
      <c r="C56" s="428"/>
      <c r="D56" s="428"/>
      <c r="E56" s="428"/>
      <c r="F56" s="428"/>
      <c r="G56" s="428"/>
      <c r="H56" s="428"/>
      <c r="I56" s="428"/>
      <c r="J56" s="428"/>
      <c r="K56" s="428"/>
      <c r="L56" s="428"/>
      <c r="M56" s="428"/>
      <c r="N56" s="428"/>
      <c r="O56" s="428"/>
      <c r="P56" s="428"/>
      <c r="Q56" s="428"/>
      <c r="R56" s="428"/>
      <c r="S56" s="428"/>
      <c r="T56" s="428"/>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28"/>
      <c r="AS56" s="428"/>
      <c r="AT56" s="428"/>
      <c r="AU56" s="428"/>
      <c r="AV56" s="428"/>
      <c r="AW56" s="428"/>
      <c r="AX56" s="428"/>
      <c r="AY56" s="428"/>
      <c r="AZ56" s="428"/>
    </row>
    <row r="57" spans="1:52" x14ac:dyDescent="0.3">
      <c r="A57" s="428"/>
      <c r="B57" s="428"/>
      <c r="C57" s="428"/>
      <c r="D57" s="428"/>
      <c r="E57" s="428"/>
      <c r="F57" s="428"/>
      <c r="G57" s="428"/>
      <c r="H57" s="428"/>
      <c r="I57" s="428"/>
      <c r="J57" s="428"/>
      <c r="K57" s="428"/>
      <c r="L57" s="428"/>
      <c r="M57" s="428"/>
      <c r="N57" s="428"/>
      <c r="O57" s="428"/>
      <c r="P57" s="428"/>
      <c r="Q57" s="428"/>
      <c r="R57" s="428"/>
      <c r="S57" s="428"/>
      <c r="T57" s="428"/>
      <c r="U57" s="428"/>
      <c r="V57" s="428"/>
      <c r="W57" s="428"/>
      <c r="X57" s="428"/>
      <c r="Y57" s="428"/>
      <c r="Z57" s="428"/>
      <c r="AA57" s="428"/>
      <c r="AB57" s="428"/>
      <c r="AC57" s="428"/>
      <c r="AD57" s="428"/>
      <c r="AE57" s="428"/>
      <c r="AF57" s="428"/>
      <c r="AG57" s="428"/>
      <c r="AH57" s="428"/>
      <c r="AI57" s="428"/>
      <c r="AJ57" s="428"/>
      <c r="AK57" s="428"/>
      <c r="AL57" s="428"/>
      <c r="AM57" s="428"/>
      <c r="AN57" s="428"/>
      <c r="AO57" s="428"/>
      <c r="AP57" s="428"/>
      <c r="AQ57" s="428"/>
      <c r="AR57" s="428"/>
      <c r="AS57" s="428"/>
      <c r="AT57" s="428"/>
      <c r="AU57" s="428"/>
      <c r="AV57" s="428"/>
      <c r="AW57" s="428"/>
      <c r="AX57" s="428"/>
      <c r="AY57" s="428"/>
      <c r="AZ57" s="428"/>
    </row>
    <row r="58" spans="1:52" x14ac:dyDescent="0.3">
      <c r="A58" s="428"/>
      <c r="B58" s="428"/>
      <c r="C58" s="428"/>
      <c r="D58" s="428"/>
      <c r="E58" s="428"/>
      <c r="F58" s="428"/>
      <c r="G58" s="428"/>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M58" s="428"/>
      <c r="AN58" s="428"/>
      <c r="AO58" s="428"/>
      <c r="AP58" s="428"/>
      <c r="AQ58" s="428"/>
      <c r="AR58" s="428"/>
      <c r="AS58" s="428"/>
      <c r="AT58" s="428"/>
      <c r="AU58" s="428"/>
      <c r="AV58" s="428"/>
      <c r="AW58" s="428"/>
      <c r="AX58" s="428"/>
      <c r="AY58" s="428"/>
      <c r="AZ58" s="428"/>
    </row>
    <row r="59" spans="1:52" x14ac:dyDescent="0.3">
      <c r="A59" s="428"/>
      <c r="B59" s="428"/>
      <c r="C59" s="428"/>
      <c r="D59" s="428"/>
      <c r="E59" s="428"/>
      <c r="F59" s="428"/>
      <c r="G59" s="428"/>
      <c r="H59" s="428"/>
      <c r="I59" s="428"/>
      <c r="J59" s="428"/>
      <c r="K59" s="428"/>
      <c r="L59" s="428"/>
      <c r="M59" s="428"/>
      <c r="N59" s="428"/>
      <c r="O59" s="428"/>
      <c r="P59" s="428"/>
      <c r="Q59" s="428"/>
      <c r="R59" s="428"/>
      <c r="S59" s="428"/>
      <c r="T59" s="428"/>
      <c r="U59" s="428"/>
      <c r="V59" s="428"/>
      <c r="W59" s="428"/>
      <c r="X59" s="428"/>
      <c r="Y59" s="428"/>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8"/>
      <c r="AW59" s="428"/>
      <c r="AX59" s="428"/>
      <c r="AY59" s="428"/>
      <c r="AZ59" s="428"/>
    </row>
    <row r="60" spans="1:52" x14ac:dyDescent="0.3">
      <c r="A60" s="428"/>
      <c r="B60" s="428"/>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428"/>
      <c r="AZ60" s="428"/>
    </row>
    <row r="61" spans="1:52" x14ac:dyDescent="0.3">
      <c r="A61" s="428"/>
      <c r="B61" s="428"/>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8"/>
      <c r="AP61" s="428"/>
      <c r="AQ61" s="428"/>
      <c r="AR61" s="428"/>
      <c r="AS61" s="428"/>
      <c r="AT61" s="428"/>
      <c r="AU61" s="428"/>
      <c r="AV61" s="428"/>
      <c r="AW61" s="428"/>
      <c r="AX61" s="428"/>
      <c r="AY61" s="428"/>
      <c r="AZ61" s="428"/>
    </row>
    <row r="62" spans="1:52" x14ac:dyDescent="0.3">
      <c r="A62" s="428"/>
      <c r="B62" s="428"/>
      <c r="C62" s="428"/>
      <c r="D62" s="428"/>
      <c r="E62" s="428"/>
      <c r="F62" s="428"/>
      <c r="G62" s="428"/>
      <c r="H62" s="428"/>
      <c r="I62" s="428"/>
      <c r="J62" s="428"/>
      <c r="K62" s="428"/>
      <c r="L62" s="428"/>
      <c r="M62" s="428"/>
      <c r="N62" s="428"/>
      <c r="O62" s="428"/>
      <c r="P62" s="428"/>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428"/>
      <c r="AZ62" s="428"/>
    </row>
    <row r="63" spans="1:52" x14ac:dyDescent="0.3">
      <c r="A63" s="428"/>
      <c r="B63" s="428"/>
      <c r="C63" s="428"/>
      <c r="D63" s="428"/>
      <c r="E63" s="428"/>
      <c r="F63" s="428"/>
      <c r="G63" s="428"/>
      <c r="H63" s="428"/>
      <c r="I63" s="428"/>
      <c r="J63" s="428"/>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c r="AI63" s="428"/>
      <c r="AJ63" s="428"/>
      <c r="AK63" s="428"/>
      <c r="AL63" s="428"/>
      <c r="AM63" s="428"/>
      <c r="AN63" s="428"/>
      <c r="AO63" s="428"/>
      <c r="AP63" s="428"/>
      <c r="AQ63" s="428"/>
      <c r="AR63" s="428"/>
      <c r="AS63" s="428"/>
      <c r="AT63" s="428"/>
      <c r="AU63" s="428"/>
      <c r="AV63" s="428"/>
      <c r="AW63" s="428"/>
      <c r="AX63" s="428"/>
      <c r="AY63" s="428"/>
      <c r="AZ63" s="428"/>
    </row>
    <row r="64" spans="1:52" x14ac:dyDescent="0.3">
      <c r="A64" s="428"/>
      <c r="B64" s="428"/>
      <c r="C64" s="428"/>
      <c r="D64" s="428"/>
      <c r="E64" s="428"/>
      <c r="F64" s="428"/>
      <c r="G64" s="428"/>
      <c r="H64" s="428"/>
      <c r="I64" s="428"/>
      <c r="J64" s="428"/>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c r="AI64" s="428"/>
      <c r="AJ64" s="428"/>
      <c r="AK64" s="428"/>
      <c r="AL64" s="428"/>
      <c r="AM64" s="428"/>
      <c r="AN64" s="428"/>
      <c r="AO64" s="428"/>
      <c r="AP64" s="428"/>
      <c r="AQ64" s="428"/>
      <c r="AR64" s="428"/>
      <c r="AS64" s="428"/>
      <c r="AT64" s="428"/>
      <c r="AU64" s="428"/>
      <c r="AV64" s="428"/>
      <c r="AW64" s="428"/>
      <c r="AX64" s="428"/>
      <c r="AY64" s="428"/>
      <c r="AZ64" s="428"/>
    </row>
    <row r="65" spans="1:52" x14ac:dyDescent="0.3">
      <c r="A65" s="428"/>
      <c r="B65" s="428"/>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8"/>
      <c r="AJ65" s="428"/>
      <c r="AK65" s="428"/>
      <c r="AL65" s="428"/>
      <c r="AM65" s="428"/>
      <c r="AN65" s="428"/>
      <c r="AO65" s="428"/>
      <c r="AP65" s="428"/>
      <c r="AQ65" s="428"/>
      <c r="AR65" s="428"/>
      <c r="AS65" s="428"/>
      <c r="AT65" s="428"/>
      <c r="AU65" s="428"/>
      <c r="AV65" s="428"/>
      <c r="AW65" s="428"/>
      <c r="AX65" s="428"/>
      <c r="AY65" s="428"/>
      <c r="AZ65" s="428"/>
    </row>
    <row r="66" spans="1:52" x14ac:dyDescent="0.3">
      <c r="A66" s="428"/>
      <c r="B66" s="428"/>
      <c r="C66" s="428"/>
      <c r="D66" s="428"/>
      <c r="E66" s="428"/>
      <c r="F66" s="428"/>
      <c r="G66" s="428"/>
      <c r="H66" s="428"/>
      <c r="I66" s="428"/>
      <c r="J66" s="428"/>
      <c r="K66" s="428"/>
      <c r="L66" s="428"/>
      <c r="M66" s="428"/>
      <c r="N66" s="428"/>
      <c r="O66" s="428"/>
      <c r="P66" s="428"/>
      <c r="Q66" s="428"/>
      <c r="R66" s="428"/>
      <c r="S66" s="428"/>
      <c r="T66" s="428"/>
      <c r="U66" s="428"/>
      <c r="V66" s="428"/>
      <c r="W66" s="428"/>
      <c r="X66" s="428"/>
      <c r="Y66" s="428"/>
      <c r="Z66" s="428"/>
      <c r="AA66" s="428"/>
      <c r="AB66" s="428"/>
      <c r="AC66" s="428"/>
      <c r="AD66" s="428"/>
      <c r="AE66" s="428"/>
      <c r="AF66" s="428"/>
      <c r="AG66" s="428"/>
      <c r="AH66" s="428"/>
      <c r="AI66" s="428"/>
      <c r="AJ66" s="428"/>
      <c r="AK66" s="428"/>
      <c r="AL66" s="428"/>
      <c r="AM66" s="428"/>
      <c r="AN66" s="428"/>
      <c r="AO66" s="428"/>
      <c r="AP66" s="428"/>
      <c r="AQ66" s="428"/>
      <c r="AR66" s="428"/>
      <c r="AS66" s="428"/>
      <c r="AT66" s="428"/>
      <c r="AU66" s="428"/>
      <c r="AV66" s="428"/>
      <c r="AW66" s="428"/>
      <c r="AX66" s="428"/>
      <c r="AY66" s="428"/>
      <c r="AZ66" s="428"/>
    </row>
    <row r="67" spans="1:52" x14ac:dyDescent="0.3">
      <c r="A67" s="428"/>
      <c r="B67" s="428"/>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428"/>
      <c r="AZ67" s="428"/>
    </row>
    <row r="68" spans="1:52" x14ac:dyDescent="0.3">
      <c r="A68" s="428"/>
      <c r="B68" s="428"/>
      <c r="C68" s="428"/>
      <c r="D68" s="428"/>
      <c r="E68" s="428"/>
      <c r="F68" s="428"/>
      <c r="G68" s="428"/>
      <c r="H68" s="428"/>
      <c r="I68" s="428"/>
      <c r="J68" s="428"/>
      <c r="K68" s="428"/>
      <c r="L68" s="428"/>
      <c r="M68" s="428"/>
      <c r="N68" s="428"/>
      <c r="O68" s="428"/>
      <c r="P68" s="428"/>
      <c r="Q68" s="428"/>
      <c r="R68" s="428"/>
      <c r="S68" s="428"/>
      <c r="T68" s="428"/>
      <c r="U68" s="428"/>
      <c r="V68" s="428"/>
      <c r="W68" s="428"/>
      <c r="X68" s="428"/>
      <c r="Y68" s="428"/>
      <c r="Z68" s="428"/>
      <c r="AA68" s="428"/>
      <c r="AB68" s="428"/>
      <c r="AC68" s="428"/>
      <c r="AD68" s="428"/>
      <c r="AE68" s="428"/>
      <c r="AF68" s="428"/>
      <c r="AG68" s="428"/>
      <c r="AH68" s="428"/>
      <c r="AI68" s="428"/>
      <c r="AJ68" s="428"/>
      <c r="AK68" s="428"/>
      <c r="AL68" s="428"/>
      <c r="AM68" s="428"/>
      <c r="AN68" s="428"/>
      <c r="AO68" s="428"/>
      <c r="AP68" s="428"/>
      <c r="AQ68" s="428"/>
      <c r="AR68" s="428"/>
      <c r="AS68" s="428"/>
      <c r="AT68" s="428"/>
      <c r="AU68" s="428"/>
      <c r="AV68" s="428"/>
      <c r="AW68" s="428"/>
      <c r="AX68" s="428"/>
      <c r="AY68" s="428"/>
      <c r="AZ68" s="428"/>
    </row>
    <row r="69" spans="1:52" x14ac:dyDescent="0.3">
      <c r="A69" s="428"/>
      <c r="B69" s="428"/>
      <c r="C69" s="428"/>
      <c r="D69" s="428"/>
      <c r="E69" s="428"/>
      <c r="F69" s="428"/>
      <c r="G69" s="428"/>
      <c r="H69" s="428"/>
      <c r="I69" s="428"/>
      <c r="J69" s="428"/>
      <c r="K69" s="428"/>
      <c r="L69" s="428"/>
      <c r="M69" s="428"/>
      <c r="N69" s="428"/>
      <c r="O69" s="428"/>
      <c r="P69" s="428"/>
      <c r="Q69" s="428"/>
      <c r="R69" s="428"/>
      <c r="S69" s="428"/>
      <c r="T69" s="428"/>
      <c r="U69" s="428"/>
      <c r="V69" s="428"/>
      <c r="W69" s="428"/>
      <c r="X69" s="428"/>
      <c r="Y69" s="428"/>
      <c r="Z69" s="428"/>
      <c r="AA69" s="428"/>
      <c r="AB69" s="428"/>
      <c r="AC69" s="428"/>
      <c r="AD69" s="428"/>
      <c r="AE69" s="428"/>
      <c r="AF69" s="428"/>
      <c r="AG69" s="428"/>
      <c r="AH69" s="428"/>
      <c r="AI69" s="428"/>
      <c r="AJ69" s="428"/>
      <c r="AK69" s="428"/>
      <c r="AL69" s="428"/>
      <c r="AM69" s="428"/>
      <c r="AN69" s="428"/>
      <c r="AO69" s="428"/>
      <c r="AP69" s="428"/>
      <c r="AQ69" s="428"/>
      <c r="AR69" s="428"/>
      <c r="AS69" s="428"/>
      <c r="AT69" s="428"/>
      <c r="AU69" s="428"/>
      <c r="AV69" s="428"/>
      <c r="AW69" s="428"/>
      <c r="AX69" s="428"/>
      <c r="AY69" s="428"/>
      <c r="AZ69" s="428"/>
    </row>
    <row r="70" spans="1:52" x14ac:dyDescent="0.3">
      <c r="A70" s="428"/>
      <c r="B70" s="428"/>
      <c r="C70" s="428"/>
      <c r="D70" s="428"/>
      <c r="E70" s="428"/>
      <c r="F70" s="428"/>
      <c r="G70" s="428"/>
      <c r="H70" s="428"/>
      <c r="I70" s="428"/>
      <c r="J70" s="428"/>
      <c r="K70" s="428"/>
      <c r="L70" s="428"/>
      <c r="M70" s="428"/>
      <c r="N70" s="428"/>
      <c r="O70" s="428"/>
      <c r="P70" s="428"/>
      <c r="Q70" s="428"/>
      <c r="R70" s="428"/>
      <c r="S70" s="428"/>
      <c r="T70" s="428"/>
      <c r="U70" s="428"/>
      <c r="V70" s="428"/>
      <c r="W70" s="428"/>
      <c r="X70" s="428"/>
      <c r="Y70" s="428"/>
      <c r="Z70" s="428"/>
      <c r="AA70" s="428"/>
      <c r="AB70" s="428"/>
      <c r="AC70" s="428"/>
      <c r="AD70" s="428"/>
      <c r="AE70" s="428"/>
      <c r="AF70" s="428"/>
      <c r="AG70" s="428"/>
      <c r="AH70" s="428"/>
      <c r="AI70" s="428"/>
      <c r="AJ70" s="428"/>
      <c r="AK70" s="428"/>
      <c r="AL70" s="428"/>
      <c r="AM70" s="428"/>
      <c r="AN70" s="428"/>
      <c r="AO70" s="428"/>
      <c r="AP70" s="428"/>
      <c r="AQ70" s="428"/>
      <c r="AR70" s="428"/>
      <c r="AS70" s="428"/>
      <c r="AT70" s="428"/>
      <c r="AU70" s="428"/>
      <c r="AV70" s="428"/>
      <c r="AW70" s="428"/>
      <c r="AX70" s="428"/>
      <c r="AY70" s="428"/>
      <c r="AZ70" s="428"/>
    </row>
    <row r="71" spans="1:52" x14ac:dyDescent="0.3">
      <c r="A71" s="428"/>
      <c r="B71" s="428"/>
      <c r="C71" s="428"/>
      <c r="D71" s="428"/>
      <c r="E71" s="428"/>
      <c r="F71" s="428"/>
      <c r="G71" s="428"/>
      <c r="H71" s="428"/>
      <c r="I71" s="428"/>
      <c r="J71" s="428"/>
      <c r="K71" s="428"/>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row>
    <row r="72" spans="1:52" x14ac:dyDescent="0.3">
      <c r="A72" s="428"/>
      <c r="B72" s="428"/>
      <c r="C72" s="428"/>
      <c r="D72" s="428"/>
      <c r="E72" s="428"/>
      <c r="F72" s="428"/>
      <c r="G72" s="428"/>
      <c r="H72" s="428"/>
      <c r="I72" s="428"/>
      <c r="J72" s="428"/>
      <c r="K72" s="428"/>
      <c r="L72" s="428"/>
      <c r="M72" s="428"/>
      <c r="N72" s="428"/>
      <c r="O72" s="428"/>
      <c r="P72" s="428"/>
      <c r="Q72" s="428"/>
      <c r="R72" s="428"/>
      <c r="S72" s="428"/>
      <c r="T72" s="428"/>
      <c r="U72" s="428"/>
      <c r="V72" s="428"/>
      <c r="W72" s="428"/>
      <c r="X72" s="428"/>
      <c r="Y72" s="428"/>
      <c r="Z72" s="428"/>
      <c r="AA72" s="428"/>
      <c r="AB72" s="428"/>
      <c r="AC72" s="428"/>
      <c r="AD72" s="428"/>
      <c r="AE72" s="428"/>
      <c r="AF72" s="428"/>
      <c r="AG72" s="428"/>
      <c r="AH72" s="428"/>
      <c r="AI72" s="428"/>
      <c r="AJ72" s="428"/>
      <c r="AK72" s="428"/>
      <c r="AL72" s="428"/>
      <c r="AM72" s="428"/>
      <c r="AN72" s="428"/>
      <c r="AO72" s="428"/>
      <c r="AP72" s="428"/>
      <c r="AQ72" s="428"/>
      <c r="AR72" s="428"/>
      <c r="AS72" s="428"/>
      <c r="AT72" s="428"/>
      <c r="AU72" s="428"/>
      <c r="AV72" s="428"/>
      <c r="AW72" s="428"/>
      <c r="AX72" s="428"/>
      <c r="AY72" s="428"/>
      <c r="AZ72" s="428"/>
    </row>
    <row r="73" spans="1:52" x14ac:dyDescent="0.3">
      <c r="A73" s="428"/>
      <c r="B73" s="428"/>
      <c r="C73" s="428"/>
      <c r="D73" s="428"/>
      <c r="E73" s="428"/>
      <c r="F73" s="428"/>
      <c r="G73" s="428"/>
      <c r="H73" s="428"/>
      <c r="I73" s="428"/>
      <c r="J73" s="428"/>
      <c r="K73" s="428"/>
      <c r="L73" s="428"/>
      <c r="M73" s="428"/>
      <c r="N73" s="428"/>
      <c r="O73" s="428"/>
      <c r="P73" s="428"/>
      <c r="Q73" s="428"/>
      <c r="R73" s="428"/>
      <c r="S73" s="428"/>
      <c r="T73" s="428"/>
      <c r="U73" s="428"/>
      <c r="V73" s="428"/>
      <c r="W73" s="428"/>
      <c r="X73" s="428"/>
      <c r="Y73" s="428"/>
      <c r="Z73" s="428"/>
      <c r="AA73" s="428"/>
      <c r="AB73" s="428"/>
      <c r="AC73" s="428"/>
      <c r="AD73" s="428"/>
      <c r="AE73" s="428"/>
      <c r="AF73" s="428"/>
      <c r="AG73" s="428"/>
      <c r="AH73" s="428"/>
      <c r="AI73" s="428"/>
      <c r="AJ73" s="428"/>
      <c r="AK73" s="428"/>
      <c r="AL73" s="428"/>
      <c r="AM73" s="428"/>
      <c r="AN73" s="428"/>
      <c r="AO73" s="428"/>
      <c r="AP73" s="428"/>
      <c r="AQ73" s="428"/>
      <c r="AR73" s="428"/>
      <c r="AS73" s="428"/>
      <c r="AT73" s="428"/>
      <c r="AU73" s="428"/>
      <c r="AV73" s="428"/>
      <c r="AW73" s="428"/>
      <c r="AX73" s="428"/>
      <c r="AY73" s="428"/>
      <c r="AZ73" s="428"/>
    </row>
    <row r="74" spans="1:52" x14ac:dyDescent="0.3">
      <c r="A74" s="428"/>
      <c r="B74" s="428"/>
      <c r="C74" s="428"/>
      <c r="D74" s="428"/>
      <c r="E74" s="428"/>
      <c r="F74" s="428"/>
      <c r="G74" s="428"/>
      <c r="H74" s="428"/>
      <c r="I74" s="428"/>
      <c r="J74" s="428"/>
      <c r="K74" s="428"/>
      <c r="L74" s="428"/>
      <c r="M74" s="428"/>
      <c r="N74" s="428"/>
      <c r="O74" s="428"/>
      <c r="P74" s="428"/>
      <c r="Q74" s="428"/>
      <c r="R74" s="428"/>
      <c r="S74" s="428"/>
      <c r="T74" s="428"/>
      <c r="U74" s="428"/>
      <c r="V74" s="428"/>
      <c r="W74" s="428"/>
      <c r="X74" s="428"/>
      <c r="Y74" s="428"/>
      <c r="Z74" s="428"/>
      <c r="AA74" s="428"/>
      <c r="AB74" s="428"/>
      <c r="AC74" s="428"/>
      <c r="AD74" s="428"/>
      <c r="AE74" s="428"/>
      <c r="AF74" s="428"/>
      <c r="AG74" s="428"/>
      <c r="AH74" s="428"/>
      <c r="AI74" s="428"/>
      <c r="AJ74" s="428"/>
      <c r="AK74" s="428"/>
      <c r="AL74" s="428"/>
      <c r="AM74" s="428"/>
      <c r="AN74" s="428"/>
      <c r="AO74" s="428"/>
      <c r="AP74" s="428"/>
      <c r="AQ74" s="428"/>
      <c r="AR74" s="428"/>
      <c r="AS74" s="428"/>
      <c r="AT74" s="428"/>
      <c r="AU74" s="428"/>
      <c r="AV74" s="428"/>
      <c r="AW74" s="428"/>
      <c r="AX74" s="428"/>
      <c r="AY74" s="428"/>
      <c r="AZ74" s="428"/>
    </row>
    <row r="75" spans="1:52" x14ac:dyDescent="0.3">
      <c r="A75" s="428"/>
      <c r="B75" s="428"/>
      <c r="C75" s="428"/>
      <c r="D75" s="428"/>
      <c r="E75" s="428"/>
      <c r="F75" s="428"/>
      <c r="G75" s="428"/>
      <c r="H75" s="428"/>
      <c r="I75" s="428"/>
      <c r="J75" s="428"/>
      <c r="K75" s="428"/>
      <c r="L75" s="428"/>
      <c r="M75" s="428"/>
      <c r="N75" s="428"/>
      <c r="O75" s="428"/>
      <c r="P75" s="428"/>
      <c r="Q75" s="428"/>
      <c r="R75" s="428"/>
      <c r="S75" s="428"/>
      <c r="T75" s="428"/>
      <c r="U75" s="428"/>
      <c r="V75" s="428"/>
      <c r="W75" s="428"/>
      <c r="X75" s="428"/>
      <c r="Y75" s="428"/>
      <c r="Z75" s="428"/>
      <c r="AA75" s="428"/>
      <c r="AB75" s="428"/>
      <c r="AC75" s="428"/>
      <c r="AD75" s="428"/>
      <c r="AE75" s="428"/>
      <c r="AF75" s="428"/>
      <c r="AG75" s="428"/>
      <c r="AH75" s="428"/>
      <c r="AI75" s="428"/>
      <c r="AJ75" s="428"/>
      <c r="AK75" s="428"/>
      <c r="AL75" s="428"/>
      <c r="AM75" s="428"/>
      <c r="AN75" s="428"/>
      <c r="AO75" s="428"/>
      <c r="AP75" s="428"/>
      <c r="AQ75" s="428"/>
      <c r="AR75" s="428"/>
      <c r="AS75" s="428"/>
      <c r="AT75" s="428"/>
      <c r="AU75" s="428"/>
      <c r="AV75" s="428"/>
      <c r="AW75" s="428"/>
      <c r="AX75" s="428"/>
      <c r="AY75" s="428"/>
      <c r="AZ75" s="428"/>
    </row>
    <row r="76" spans="1:52" x14ac:dyDescent="0.3">
      <c r="A76" s="428"/>
      <c r="B76" s="428"/>
      <c r="C76" s="428"/>
      <c r="D76" s="428"/>
      <c r="E76" s="428"/>
      <c r="F76" s="428"/>
      <c r="G76" s="428"/>
      <c r="H76" s="428"/>
      <c r="I76" s="428"/>
      <c r="J76" s="428"/>
      <c r="K76" s="428"/>
      <c r="L76" s="428"/>
      <c r="M76" s="428"/>
      <c r="N76" s="428"/>
      <c r="O76" s="428"/>
      <c r="P76" s="428"/>
      <c r="Q76" s="428"/>
      <c r="R76" s="428"/>
      <c r="S76" s="428"/>
      <c r="T76" s="428"/>
      <c r="U76" s="428"/>
      <c r="V76" s="428"/>
      <c r="W76" s="428"/>
      <c r="X76" s="428"/>
      <c r="Y76" s="428"/>
      <c r="Z76" s="428"/>
      <c r="AA76" s="428"/>
      <c r="AB76" s="428"/>
      <c r="AC76" s="428"/>
      <c r="AD76" s="428"/>
      <c r="AE76" s="428"/>
      <c r="AF76" s="428"/>
      <c r="AG76" s="428"/>
      <c r="AH76" s="428"/>
      <c r="AI76" s="428"/>
      <c r="AJ76" s="428"/>
      <c r="AK76" s="428"/>
      <c r="AL76" s="428"/>
      <c r="AM76" s="428"/>
      <c r="AN76" s="428"/>
      <c r="AO76" s="428"/>
      <c r="AP76" s="428"/>
      <c r="AQ76" s="428"/>
      <c r="AR76" s="428"/>
      <c r="AS76" s="428"/>
      <c r="AT76" s="428"/>
      <c r="AU76" s="428"/>
      <c r="AV76" s="428"/>
      <c r="AW76" s="428"/>
      <c r="AX76" s="428"/>
      <c r="AY76" s="428"/>
      <c r="AZ76" s="428"/>
    </row>
    <row r="77" spans="1:52" x14ac:dyDescent="0.3">
      <c r="A77" s="428"/>
      <c r="B77" s="428"/>
      <c r="C77" s="428"/>
      <c r="D77" s="428"/>
      <c r="E77" s="428"/>
      <c r="F77" s="428"/>
      <c r="G77" s="428"/>
      <c r="H77" s="428"/>
      <c r="I77" s="428"/>
      <c r="J77" s="428"/>
      <c r="K77" s="428"/>
      <c r="L77" s="428"/>
      <c r="M77" s="428"/>
      <c r="N77" s="428"/>
      <c r="O77" s="428"/>
      <c r="P77" s="428"/>
      <c r="Q77" s="428"/>
      <c r="R77" s="428"/>
      <c r="S77" s="428"/>
      <c r="T77" s="428"/>
      <c r="U77" s="428"/>
      <c r="V77" s="428"/>
      <c r="W77" s="428"/>
      <c r="X77" s="428"/>
      <c r="Y77" s="428"/>
      <c r="Z77" s="428"/>
      <c r="AA77" s="428"/>
      <c r="AB77" s="428"/>
      <c r="AC77" s="428"/>
      <c r="AD77" s="428"/>
      <c r="AE77" s="428"/>
      <c r="AF77" s="428"/>
      <c r="AG77" s="428"/>
      <c r="AH77" s="428"/>
      <c r="AI77" s="428"/>
      <c r="AJ77" s="428"/>
      <c r="AK77" s="428"/>
      <c r="AL77" s="428"/>
      <c r="AM77" s="428"/>
      <c r="AN77" s="428"/>
      <c r="AO77" s="428"/>
      <c r="AP77" s="428"/>
      <c r="AQ77" s="428"/>
      <c r="AR77" s="428"/>
      <c r="AS77" s="428"/>
      <c r="AT77" s="428"/>
      <c r="AU77" s="428"/>
      <c r="AV77" s="428"/>
      <c r="AW77" s="428"/>
      <c r="AX77" s="428"/>
      <c r="AY77" s="428"/>
      <c r="AZ77" s="428"/>
    </row>
    <row r="78" spans="1:52" x14ac:dyDescent="0.3">
      <c r="A78" s="428"/>
      <c r="B78" s="428"/>
      <c r="C78" s="428"/>
      <c r="D78" s="428"/>
      <c r="E78" s="428"/>
      <c r="F78" s="428"/>
      <c r="G78" s="428"/>
      <c r="H78" s="428"/>
      <c r="I78" s="428"/>
      <c r="J78" s="428"/>
      <c r="K78" s="428"/>
      <c r="L78" s="428"/>
      <c r="M78" s="428"/>
      <c r="N78" s="428"/>
      <c r="O78" s="428"/>
      <c r="P78" s="428"/>
      <c r="Q78" s="428"/>
      <c r="R78" s="428"/>
      <c r="S78" s="428"/>
      <c r="T78" s="428"/>
      <c r="U78" s="428"/>
      <c r="V78" s="428"/>
      <c r="W78" s="428"/>
      <c r="X78" s="428"/>
      <c r="Y78" s="428"/>
      <c r="Z78" s="428"/>
      <c r="AA78" s="428"/>
      <c r="AB78" s="428"/>
      <c r="AC78" s="428"/>
      <c r="AD78" s="428"/>
      <c r="AE78" s="428"/>
      <c r="AF78" s="428"/>
      <c r="AG78" s="428"/>
      <c r="AH78" s="428"/>
      <c r="AI78" s="428"/>
      <c r="AJ78" s="428"/>
      <c r="AK78" s="428"/>
      <c r="AL78" s="428"/>
      <c r="AM78" s="428"/>
      <c r="AN78" s="428"/>
      <c r="AO78" s="428"/>
      <c r="AP78" s="428"/>
      <c r="AQ78" s="428"/>
      <c r="AR78" s="428"/>
      <c r="AS78" s="428"/>
      <c r="AT78" s="428"/>
      <c r="AU78" s="428"/>
      <c r="AV78" s="428"/>
      <c r="AW78" s="428"/>
      <c r="AX78" s="428"/>
      <c r="AY78" s="428"/>
      <c r="AZ78" s="428"/>
    </row>
    <row r="79" spans="1:52" x14ac:dyDescent="0.3">
      <c r="A79" s="428"/>
      <c r="B79" s="428"/>
      <c r="C79" s="428"/>
      <c r="D79" s="428"/>
      <c r="E79" s="428"/>
      <c r="F79" s="428"/>
      <c r="G79" s="428"/>
      <c r="H79" s="428"/>
      <c r="I79" s="428"/>
      <c r="J79" s="428"/>
      <c r="K79" s="428"/>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row>
    <row r="80" spans="1:52" x14ac:dyDescent="0.3">
      <c r="A80" s="428"/>
      <c r="B80" s="428"/>
      <c r="C80" s="428"/>
      <c r="D80" s="428"/>
      <c r="E80" s="428"/>
      <c r="F80" s="428"/>
      <c r="G80" s="428"/>
      <c r="H80" s="428"/>
      <c r="I80" s="428"/>
      <c r="J80" s="428"/>
      <c r="K80" s="428"/>
      <c r="L80" s="428"/>
      <c r="M80" s="428"/>
      <c r="N80" s="428"/>
      <c r="O80" s="428"/>
      <c r="P80" s="428"/>
      <c r="Q80" s="428"/>
      <c r="R80" s="428"/>
      <c r="S80" s="428"/>
      <c r="T80" s="428"/>
      <c r="U80" s="428"/>
      <c r="V80" s="428"/>
      <c r="W80" s="428"/>
      <c r="X80" s="428"/>
      <c r="Y80" s="428"/>
      <c r="Z80" s="428"/>
      <c r="AA80" s="428"/>
      <c r="AB80" s="428"/>
      <c r="AC80" s="428"/>
      <c r="AD80" s="428"/>
      <c r="AE80" s="428"/>
      <c r="AF80" s="428"/>
      <c r="AG80" s="428"/>
      <c r="AH80" s="428"/>
      <c r="AI80" s="428"/>
      <c r="AJ80" s="428"/>
      <c r="AK80" s="428"/>
      <c r="AL80" s="428"/>
      <c r="AM80" s="428"/>
      <c r="AN80" s="428"/>
      <c r="AO80" s="428"/>
      <c r="AP80" s="428"/>
      <c r="AQ80" s="428"/>
      <c r="AR80" s="428"/>
      <c r="AS80" s="428"/>
      <c r="AT80" s="428"/>
      <c r="AU80" s="428"/>
      <c r="AV80" s="428"/>
      <c r="AW80" s="428"/>
      <c r="AX80" s="428"/>
      <c r="AY80" s="428"/>
      <c r="AZ80" s="428"/>
    </row>
    <row r="81" spans="1:52" x14ac:dyDescent="0.3">
      <c r="A81" s="428"/>
      <c r="B81" s="428"/>
      <c r="C81" s="428"/>
      <c r="D81" s="428"/>
      <c r="E81" s="428"/>
      <c r="F81" s="428"/>
      <c r="G81" s="428"/>
      <c r="H81" s="428"/>
      <c r="I81" s="428"/>
      <c r="J81" s="428"/>
      <c r="K81" s="428"/>
      <c r="L81" s="428"/>
      <c r="M81" s="428"/>
      <c r="N81" s="428"/>
      <c r="O81" s="428"/>
      <c r="P81" s="428"/>
      <c r="Q81" s="428"/>
      <c r="R81" s="428"/>
      <c r="S81" s="428"/>
      <c r="T81" s="428"/>
      <c r="U81" s="428"/>
      <c r="V81" s="428"/>
      <c r="W81" s="428"/>
      <c r="X81" s="428"/>
      <c r="Y81" s="428"/>
      <c r="Z81" s="428"/>
      <c r="AA81" s="428"/>
      <c r="AB81" s="428"/>
      <c r="AC81" s="428"/>
      <c r="AD81" s="428"/>
      <c r="AE81" s="428"/>
      <c r="AF81" s="428"/>
      <c r="AG81" s="428"/>
      <c r="AH81" s="428"/>
      <c r="AI81" s="428"/>
      <c r="AJ81" s="428"/>
      <c r="AK81" s="428"/>
      <c r="AL81" s="428"/>
      <c r="AM81" s="428"/>
      <c r="AN81" s="428"/>
      <c r="AO81" s="428"/>
      <c r="AP81" s="428"/>
      <c r="AQ81" s="428"/>
      <c r="AR81" s="428"/>
      <c r="AS81" s="428"/>
      <c r="AT81" s="428"/>
      <c r="AU81" s="428"/>
      <c r="AV81" s="428"/>
      <c r="AW81" s="428"/>
      <c r="AX81" s="428"/>
      <c r="AY81" s="428"/>
      <c r="AZ81" s="428"/>
    </row>
    <row r="82" spans="1:52" x14ac:dyDescent="0.3">
      <c r="A82" s="428"/>
      <c r="B82" s="428"/>
      <c r="C82" s="428"/>
      <c r="D82" s="428"/>
      <c r="E82" s="428"/>
      <c r="F82" s="428"/>
      <c r="G82" s="428"/>
      <c r="H82" s="428"/>
      <c r="I82" s="428"/>
      <c r="J82" s="428"/>
      <c r="K82" s="428"/>
      <c r="L82" s="428"/>
      <c r="M82" s="428"/>
      <c r="N82" s="428"/>
      <c r="O82" s="428"/>
      <c r="P82" s="428"/>
      <c r="Q82" s="428"/>
      <c r="R82" s="428"/>
      <c r="S82" s="428"/>
      <c r="T82" s="428"/>
      <c r="U82" s="428"/>
      <c r="V82" s="428"/>
      <c r="W82" s="428"/>
      <c r="X82" s="428"/>
      <c r="Y82" s="428"/>
      <c r="Z82" s="428"/>
      <c r="AA82" s="428"/>
      <c r="AB82" s="428"/>
      <c r="AC82" s="428"/>
      <c r="AD82" s="428"/>
      <c r="AE82" s="428"/>
      <c r="AF82" s="428"/>
      <c r="AG82" s="428"/>
      <c r="AH82" s="428"/>
      <c r="AI82" s="428"/>
      <c r="AJ82" s="428"/>
      <c r="AK82" s="428"/>
      <c r="AL82" s="428"/>
      <c r="AM82" s="428"/>
      <c r="AN82" s="428"/>
      <c r="AO82" s="428"/>
      <c r="AP82" s="428"/>
      <c r="AQ82" s="428"/>
      <c r="AR82" s="428"/>
      <c r="AS82" s="428"/>
      <c r="AT82" s="428"/>
      <c r="AU82" s="428"/>
      <c r="AV82" s="428"/>
      <c r="AW82" s="428"/>
      <c r="AX82" s="428"/>
      <c r="AY82" s="428"/>
      <c r="AZ82" s="428"/>
    </row>
    <row r="83" spans="1:52" x14ac:dyDescent="0.3">
      <c r="A83" s="428"/>
      <c r="B83" s="428"/>
      <c r="C83" s="428"/>
      <c r="D83" s="428"/>
      <c r="E83" s="428"/>
      <c r="F83" s="428"/>
      <c r="G83" s="428"/>
      <c r="H83" s="428"/>
      <c r="I83" s="428"/>
      <c r="J83" s="428"/>
      <c r="K83" s="428"/>
      <c r="L83" s="428"/>
      <c r="M83" s="428"/>
      <c r="N83" s="428"/>
      <c r="O83" s="428"/>
      <c r="P83" s="428"/>
      <c r="Q83" s="428"/>
      <c r="R83" s="428"/>
      <c r="S83" s="428"/>
      <c r="T83" s="428"/>
      <c r="U83" s="428"/>
      <c r="V83" s="428"/>
      <c r="W83" s="428"/>
      <c r="X83" s="428"/>
      <c r="Y83" s="428"/>
      <c r="Z83" s="428"/>
      <c r="AA83" s="428"/>
      <c r="AB83" s="428"/>
      <c r="AC83" s="428"/>
      <c r="AD83" s="428"/>
      <c r="AE83" s="428"/>
      <c r="AF83" s="428"/>
      <c r="AG83" s="428"/>
      <c r="AH83" s="428"/>
      <c r="AI83" s="428"/>
      <c r="AJ83" s="428"/>
      <c r="AK83" s="428"/>
      <c r="AL83" s="428"/>
      <c r="AM83" s="428"/>
      <c r="AN83" s="428"/>
      <c r="AO83" s="428"/>
      <c r="AP83" s="428"/>
      <c r="AQ83" s="428"/>
      <c r="AR83" s="428"/>
      <c r="AS83" s="428"/>
      <c r="AT83" s="428"/>
      <c r="AU83" s="428"/>
      <c r="AV83" s="428"/>
      <c r="AW83" s="428"/>
      <c r="AX83" s="428"/>
      <c r="AY83" s="428"/>
      <c r="AZ83" s="428"/>
    </row>
    <row r="84" spans="1:52" x14ac:dyDescent="0.3">
      <c r="A84" s="428"/>
      <c r="B84" s="428"/>
      <c r="C84" s="428"/>
      <c r="D84" s="428"/>
      <c r="E84" s="428"/>
      <c r="F84" s="428"/>
      <c r="G84" s="428"/>
      <c r="H84" s="428"/>
      <c r="I84" s="428"/>
      <c r="J84" s="428"/>
      <c r="K84" s="428"/>
      <c r="L84" s="428"/>
      <c r="M84" s="428"/>
      <c r="N84" s="428"/>
      <c r="O84" s="428"/>
      <c r="P84" s="428"/>
      <c r="Q84" s="428"/>
      <c r="R84" s="428"/>
      <c r="S84" s="428"/>
      <c r="T84" s="428"/>
      <c r="U84" s="428"/>
      <c r="V84" s="428"/>
      <c r="W84" s="428"/>
      <c r="X84" s="428"/>
      <c r="Y84" s="428"/>
      <c r="Z84" s="428"/>
      <c r="AA84" s="428"/>
      <c r="AB84" s="428"/>
      <c r="AC84" s="428"/>
      <c r="AD84" s="428"/>
      <c r="AE84" s="428"/>
      <c r="AF84" s="428"/>
      <c r="AG84" s="428"/>
      <c r="AH84" s="428"/>
      <c r="AI84" s="428"/>
      <c r="AJ84" s="428"/>
      <c r="AK84" s="428"/>
      <c r="AL84" s="428"/>
      <c r="AM84" s="428"/>
      <c r="AN84" s="428"/>
      <c r="AO84" s="428"/>
      <c r="AP84" s="428"/>
      <c r="AQ84" s="428"/>
      <c r="AR84" s="428"/>
      <c r="AS84" s="428"/>
      <c r="AT84" s="428"/>
      <c r="AU84" s="428"/>
      <c r="AV84" s="428"/>
      <c r="AW84" s="428"/>
      <c r="AX84" s="428"/>
      <c r="AY84" s="428"/>
      <c r="AZ84" s="428"/>
    </row>
    <row r="85" spans="1:52" x14ac:dyDescent="0.3">
      <c r="A85" s="428"/>
      <c r="B85" s="428"/>
      <c r="C85" s="428"/>
      <c r="D85" s="428"/>
      <c r="E85" s="428"/>
      <c r="F85" s="428"/>
      <c r="G85" s="428"/>
      <c r="H85" s="428"/>
      <c r="I85" s="428"/>
      <c r="J85" s="428"/>
      <c r="K85" s="428"/>
      <c r="L85" s="428"/>
      <c r="M85" s="428"/>
      <c r="N85" s="428"/>
      <c r="O85" s="428"/>
      <c r="P85" s="428"/>
      <c r="Q85" s="428"/>
      <c r="R85" s="428"/>
      <c r="S85" s="428"/>
      <c r="T85" s="428"/>
      <c r="U85" s="428"/>
      <c r="V85" s="428"/>
      <c r="W85" s="428"/>
      <c r="X85" s="428"/>
      <c r="Y85" s="428"/>
      <c r="Z85" s="428"/>
      <c r="AA85" s="428"/>
      <c r="AB85" s="428"/>
      <c r="AC85" s="428"/>
      <c r="AD85" s="428"/>
      <c r="AE85" s="428"/>
      <c r="AF85" s="428"/>
      <c r="AG85" s="428"/>
      <c r="AH85" s="428"/>
      <c r="AI85" s="428"/>
      <c r="AJ85" s="428"/>
      <c r="AK85" s="428"/>
      <c r="AL85" s="428"/>
      <c r="AM85" s="428"/>
      <c r="AN85" s="428"/>
      <c r="AO85" s="428"/>
      <c r="AP85" s="428"/>
      <c r="AQ85" s="428"/>
      <c r="AR85" s="428"/>
      <c r="AS85" s="428"/>
      <c r="AT85" s="428"/>
      <c r="AU85" s="428"/>
      <c r="AV85" s="428"/>
      <c r="AW85" s="428"/>
      <c r="AX85" s="428"/>
      <c r="AY85" s="428"/>
      <c r="AZ85" s="428"/>
    </row>
    <row r="86" spans="1:52" x14ac:dyDescent="0.3">
      <c r="A86" s="428"/>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c r="AI86" s="428"/>
      <c r="AJ86" s="428"/>
      <c r="AK86" s="428"/>
      <c r="AL86" s="428"/>
      <c r="AM86" s="428"/>
      <c r="AN86" s="428"/>
      <c r="AO86" s="428"/>
      <c r="AP86" s="428"/>
      <c r="AQ86" s="428"/>
      <c r="AR86" s="428"/>
      <c r="AS86" s="428"/>
      <c r="AT86" s="428"/>
      <c r="AU86" s="428"/>
      <c r="AV86" s="428"/>
      <c r="AW86" s="428"/>
      <c r="AX86" s="428"/>
      <c r="AY86" s="428"/>
      <c r="AZ86" s="428"/>
    </row>
    <row r="87" spans="1:52" x14ac:dyDescent="0.3">
      <c r="A87" s="428"/>
      <c r="B87" s="428"/>
      <c r="C87" s="428"/>
      <c r="D87" s="428"/>
      <c r="E87" s="428"/>
      <c r="F87" s="428"/>
      <c r="G87" s="428"/>
      <c r="H87" s="428"/>
      <c r="I87" s="428"/>
      <c r="J87" s="428"/>
      <c r="K87" s="428"/>
      <c r="L87" s="428"/>
      <c r="M87" s="428"/>
      <c r="N87" s="428"/>
      <c r="O87" s="428"/>
      <c r="P87" s="428"/>
      <c r="Q87" s="428"/>
      <c r="R87" s="428"/>
      <c r="S87" s="428"/>
      <c r="T87" s="428"/>
      <c r="U87" s="428"/>
      <c r="V87" s="428"/>
      <c r="W87" s="428"/>
      <c r="X87" s="428"/>
      <c r="Y87" s="428"/>
      <c r="Z87" s="428"/>
      <c r="AA87" s="428"/>
      <c r="AB87" s="428"/>
      <c r="AC87" s="428"/>
      <c r="AD87" s="428"/>
      <c r="AE87" s="428"/>
      <c r="AF87" s="428"/>
      <c r="AG87" s="428"/>
      <c r="AH87" s="428"/>
      <c r="AI87" s="428"/>
      <c r="AJ87" s="428"/>
      <c r="AK87" s="428"/>
      <c r="AL87" s="428"/>
      <c r="AM87" s="428"/>
      <c r="AN87" s="428"/>
      <c r="AO87" s="428"/>
      <c r="AP87" s="428"/>
      <c r="AQ87" s="428"/>
      <c r="AR87" s="428"/>
      <c r="AS87" s="428"/>
      <c r="AT87" s="428"/>
      <c r="AU87" s="428"/>
      <c r="AV87" s="428"/>
      <c r="AW87" s="428"/>
      <c r="AX87" s="428"/>
      <c r="AY87" s="428"/>
      <c r="AZ87" s="428"/>
    </row>
    <row r="88" spans="1:52" x14ac:dyDescent="0.3">
      <c r="A88" s="428"/>
      <c r="B88" s="428"/>
      <c r="C88" s="428"/>
      <c r="D88" s="428"/>
      <c r="E88" s="428"/>
      <c r="F88" s="428"/>
      <c r="G88" s="428"/>
      <c r="H88" s="428"/>
      <c r="I88" s="428"/>
      <c r="J88" s="428"/>
      <c r="K88" s="428"/>
      <c r="L88" s="428"/>
      <c r="M88" s="428"/>
      <c r="N88" s="428"/>
      <c r="O88" s="428"/>
      <c r="P88" s="428"/>
      <c r="Q88" s="428"/>
      <c r="R88" s="428"/>
      <c r="S88" s="428"/>
      <c r="T88" s="428"/>
      <c r="U88" s="428"/>
      <c r="V88" s="428"/>
      <c r="W88" s="428"/>
      <c r="X88" s="428"/>
      <c r="Y88" s="428"/>
      <c r="Z88" s="428"/>
      <c r="AA88" s="428"/>
      <c r="AB88" s="428"/>
      <c r="AC88" s="428"/>
      <c r="AD88" s="428"/>
      <c r="AE88" s="428"/>
      <c r="AF88" s="428"/>
      <c r="AG88" s="428"/>
      <c r="AH88" s="428"/>
      <c r="AI88" s="428"/>
      <c r="AJ88" s="428"/>
      <c r="AK88" s="428"/>
      <c r="AL88" s="428"/>
      <c r="AM88" s="428"/>
      <c r="AN88" s="428"/>
      <c r="AO88" s="428"/>
      <c r="AP88" s="428"/>
      <c r="AQ88" s="428"/>
      <c r="AR88" s="428"/>
      <c r="AS88" s="428"/>
      <c r="AT88" s="428"/>
      <c r="AU88" s="428"/>
      <c r="AV88" s="428"/>
      <c r="AW88" s="428"/>
      <c r="AX88" s="428"/>
      <c r="AY88" s="428"/>
      <c r="AZ88" s="428"/>
    </row>
    <row r="89" spans="1:52" x14ac:dyDescent="0.3">
      <c r="A89" s="428"/>
      <c r="B89" s="428"/>
      <c r="C89" s="428"/>
      <c r="D89" s="428"/>
      <c r="E89" s="428"/>
      <c r="F89" s="428"/>
      <c r="G89" s="428"/>
      <c r="H89" s="428"/>
      <c r="I89" s="428"/>
      <c r="J89" s="428"/>
      <c r="K89" s="428"/>
      <c r="L89" s="428"/>
      <c r="M89" s="428"/>
      <c r="N89" s="428"/>
      <c r="O89" s="428"/>
      <c r="P89" s="428"/>
      <c r="Q89" s="428"/>
      <c r="R89" s="428"/>
      <c r="S89" s="428"/>
      <c r="T89" s="428"/>
      <c r="U89" s="428"/>
      <c r="V89" s="428"/>
      <c r="W89" s="428"/>
      <c r="X89" s="428"/>
      <c r="Y89" s="428"/>
      <c r="Z89" s="428"/>
      <c r="AA89" s="428"/>
      <c r="AB89" s="428"/>
      <c r="AC89" s="428"/>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row>
    <row r="90" spans="1:52" x14ac:dyDescent="0.3">
      <c r="A90" s="428"/>
      <c r="B90" s="428"/>
      <c r="C90" s="428"/>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row>
    <row r="91" spans="1:52" x14ac:dyDescent="0.3">
      <c r="A91" s="428"/>
      <c r="B91" s="428"/>
      <c r="C91" s="428"/>
      <c r="D91" s="428"/>
      <c r="E91" s="428"/>
      <c r="F91" s="428"/>
      <c r="G91" s="428"/>
      <c r="H91" s="428"/>
      <c r="I91" s="428"/>
      <c r="J91" s="428"/>
      <c r="K91" s="428"/>
      <c r="L91" s="428"/>
      <c r="M91" s="428"/>
      <c r="N91" s="428"/>
      <c r="O91" s="428"/>
      <c r="P91" s="428"/>
      <c r="Q91" s="428"/>
      <c r="R91" s="428"/>
      <c r="S91" s="428"/>
      <c r="T91" s="428"/>
      <c r="U91" s="428"/>
      <c r="V91" s="428"/>
      <c r="W91" s="428"/>
      <c r="X91" s="428"/>
      <c r="Y91" s="428"/>
      <c r="Z91" s="428"/>
      <c r="AA91" s="428"/>
      <c r="AB91" s="428"/>
      <c r="AC91" s="428"/>
      <c r="AD91" s="428"/>
      <c r="AE91" s="428"/>
      <c r="AF91" s="428"/>
      <c r="AG91" s="428"/>
      <c r="AH91" s="428"/>
      <c r="AI91" s="428"/>
      <c r="AJ91" s="428"/>
      <c r="AK91" s="428"/>
      <c r="AL91" s="428"/>
      <c r="AM91" s="428"/>
      <c r="AN91" s="428"/>
      <c r="AO91" s="428"/>
      <c r="AP91" s="428"/>
      <c r="AQ91" s="428"/>
      <c r="AR91" s="428"/>
      <c r="AS91" s="428"/>
      <c r="AT91" s="428"/>
      <c r="AU91" s="428"/>
      <c r="AV91" s="428"/>
      <c r="AW91" s="428"/>
      <c r="AX91" s="428"/>
      <c r="AY91" s="428"/>
      <c r="AZ91" s="428"/>
    </row>
    <row r="92" spans="1:52" x14ac:dyDescent="0.3">
      <c r="A92" s="428"/>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c r="AI92" s="428"/>
      <c r="AJ92" s="428"/>
      <c r="AK92" s="428"/>
      <c r="AL92" s="428"/>
      <c r="AM92" s="428"/>
      <c r="AN92" s="428"/>
      <c r="AO92" s="428"/>
      <c r="AP92" s="428"/>
      <c r="AQ92" s="428"/>
      <c r="AR92" s="428"/>
      <c r="AS92" s="428"/>
      <c r="AT92" s="428"/>
      <c r="AU92" s="428"/>
      <c r="AV92" s="428"/>
      <c r="AW92" s="428"/>
      <c r="AX92" s="428"/>
      <c r="AY92" s="428"/>
      <c r="AZ92" s="428"/>
    </row>
    <row r="93" spans="1:52" x14ac:dyDescent="0.3">
      <c r="A93" s="428"/>
      <c r="B93" s="428"/>
      <c r="C93" s="428"/>
      <c r="D93" s="428"/>
      <c r="E93" s="428"/>
      <c r="F93" s="428"/>
      <c r="G93" s="428"/>
      <c r="H93" s="428"/>
      <c r="I93" s="428"/>
      <c r="J93" s="428"/>
      <c r="K93" s="428"/>
      <c r="L93" s="428"/>
      <c r="M93" s="428"/>
      <c r="N93" s="428"/>
      <c r="O93" s="428"/>
      <c r="P93" s="428"/>
      <c r="Q93" s="428"/>
      <c r="R93" s="428"/>
      <c r="S93" s="428"/>
      <c r="T93" s="428"/>
      <c r="U93" s="428"/>
      <c r="V93" s="428"/>
      <c r="W93" s="428"/>
      <c r="X93" s="428"/>
      <c r="Y93" s="428"/>
      <c r="Z93" s="428"/>
      <c r="AA93" s="428"/>
      <c r="AB93" s="428"/>
      <c r="AC93" s="428"/>
      <c r="AD93" s="428"/>
      <c r="AE93" s="428"/>
      <c r="AF93" s="428"/>
      <c r="AG93" s="428"/>
      <c r="AH93" s="428"/>
      <c r="AI93" s="428"/>
      <c r="AJ93" s="428"/>
      <c r="AK93" s="428"/>
      <c r="AL93" s="428"/>
      <c r="AM93" s="428"/>
      <c r="AN93" s="428"/>
      <c r="AO93" s="428"/>
      <c r="AP93" s="428"/>
      <c r="AQ93" s="428"/>
      <c r="AR93" s="428"/>
      <c r="AS93" s="428"/>
      <c r="AT93" s="428"/>
      <c r="AU93" s="428"/>
      <c r="AV93" s="428"/>
      <c r="AW93" s="428"/>
      <c r="AX93" s="428"/>
      <c r="AY93" s="428"/>
      <c r="AZ93" s="428"/>
    </row>
    <row r="94" spans="1:52" x14ac:dyDescent="0.3">
      <c r="A94" s="428"/>
      <c r="B94" s="428"/>
      <c r="C94" s="428"/>
      <c r="D94" s="428"/>
      <c r="E94" s="428"/>
      <c r="F94" s="428"/>
      <c r="G94" s="428"/>
      <c r="H94" s="428"/>
      <c r="I94" s="428"/>
      <c r="J94" s="428"/>
      <c r="K94" s="428"/>
      <c r="L94" s="428"/>
      <c r="M94" s="428"/>
      <c r="N94" s="428"/>
      <c r="O94" s="428"/>
      <c r="P94" s="428"/>
      <c r="Q94" s="428"/>
      <c r="R94" s="428"/>
      <c r="S94" s="428"/>
      <c r="T94" s="428"/>
      <c r="U94" s="428"/>
      <c r="V94" s="428"/>
      <c r="W94" s="428"/>
      <c r="X94" s="428"/>
      <c r="Y94" s="428"/>
      <c r="Z94" s="428"/>
      <c r="AA94" s="428"/>
      <c r="AB94" s="428"/>
      <c r="AC94" s="428"/>
      <c r="AD94" s="428"/>
      <c r="AE94" s="428"/>
      <c r="AF94" s="428"/>
      <c r="AG94" s="428"/>
      <c r="AH94" s="428"/>
      <c r="AI94" s="428"/>
      <c r="AJ94" s="428"/>
      <c r="AK94" s="428"/>
      <c r="AL94" s="428"/>
      <c r="AM94" s="428"/>
      <c r="AN94" s="428"/>
      <c r="AO94" s="428"/>
      <c r="AP94" s="428"/>
      <c r="AQ94" s="428"/>
      <c r="AR94" s="428"/>
      <c r="AS94" s="428"/>
      <c r="AT94" s="428"/>
      <c r="AU94" s="428"/>
      <c r="AV94" s="428"/>
      <c r="AW94" s="428"/>
      <c r="AX94" s="428"/>
      <c r="AY94" s="428"/>
      <c r="AZ94" s="428"/>
    </row>
    <row r="95" spans="1:52" x14ac:dyDescent="0.3">
      <c r="A95" s="428"/>
      <c r="B95" s="428"/>
      <c r="C95" s="428"/>
      <c r="D95" s="428"/>
      <c r="E95" s="428"/>
      <c r="F95" s="428"/>
      <c r="G95" s="428"/>
      <c r="H95" s="428"/>
      <c r="I95" s="428"/>
      <c r="J95" s="428"/>
      <c r="K95" s="428"/>
      <c r="L95" s="428"/>
      <c r="M95" s="428"/>
      <c r="N95" s="428"/>
      <c r="O95" s="428"/>
      <c r="P95" s="428"/>
      <c r="Q95" s="428"/>
      <c r="R95" s="428"/>
      <c r="S95" s="428"/>
      <c r="T95" s="428"/>
      <c r="U95" s="428"/>
      <c r="V95" s="428"/>
      <c r="W95" s="428"/>
      <c r="X95" s="428"/>
      <c r="Y95" s="428"/>
      <c r="Z95" s="428"/>
      <c r="AA95" s="428"/>
      <c r="AB95" s="428"/>
      <c r="AC95" s="428"/>
      <c r="AD95" s="428"/>
      <c r="AE95" s="428"/>
      <c r="AF95" s="428"/>
      <c r="AG95" s="428"/>
      <c r="AH95" s="428"/>
      <c r="AI95" s="428"/>
      <c r="AJ95" s="428"/>
      <c r="AK95" s="428"/>
      <c r="AL95" s="428"/>
      <c r="AM95" s="428"/>
      <c r="AN95" s="428"/>
      <c r="AO95" s="428"/>
      <c r="AP95" s="428"/>
      <c r="AQ95" s="428"/>
      <c r="AR95" s="428"/>
      <c r="AS95" s="428"/>
      <c r="AT95" s="428"/>
      <c r="AU95" s="428"/>
      <c r="AV95" s="428"/>
      <c r="AW95" s="428"/>
      <c r="AX95" s="428"/>
      <c r="AY95" s="428"/>
      <c r="AZ95" s="428"/>
    </row>
    <row r="96" spans="1:52" x14ac:dyDescent="0.3">
      <c r="A96" s="428"/>
      <c r="B96" s="428"/>
      <c r="C96" s="428"/>
      <c r="D96" s="428"/>
      <c r="E96" s="428"/>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8"/>
      <c r="AF96" s="428"/>
      <c r="AG96" s="428"/>
      <c r="AH96" s="428"/>
      <c r="AI96" s="428"/>
      <c r="AJ96" s="428"/>
      <c r="AK96" s="428"/>
      <c r="AL96" s="428"/>
      <c r="AM96" s="428"/>
      <c r="AN96" s="428"/>
      <c r="AO96" s="428"/>
      <c r="AP96" s="428"/>
      <c r="AQ96" s="428"/>
      <c r="AR96" s="428"/>
      <c r="AS96" s="428"/>
      <c r="AT96" s="428"/>
      <c r="AU96" s="428"/>
      <c r="AV96" s="428"/>
      <c r="AW96" s="428"/>
      <c r="AX96" s="428"/>
      <c r="AY96" s="428"/>
      <c r="AZ96" s="428"/>
    </row>
    <row r="97" spans="1:52" x14ac:dyDescent="0.3">
      <c r="A97" s="428"/>
      <c r="B97" s="428"/>
      <c r="C97" s="428"/>
      <c r="D97" s="428"/>
      <c r="E97" s="428"/>
      <c r="F97" s="428"/>
      <c r="G97" s="428"/>
      <c r="H97" s="428"/>
      <c r="I97" s="428"/>
      <c r="J97" s="428"/>
      <c r="K97" s="428"/>
      <c r="L97" s="428"/>
      <c r="M97" s="428"/>
      <c r="N97" s="428"/>
      <c r="O97" s="428"/>
      <c r="P97" s="428"/>
      <c r="Q97" s="428"/>
      <c r="R97" s="428"/>
      <c r="S97" s="428"/>
      <c r="T97" s="428"/>
      <c r="U97" s="428"/>
      <c r="V97" s="428"/>
      <c r="W97" s="428"/>
      <c r="X97" s="428"/>
      <c r="Y97" s="428"/>
      <c r="Z97" s="428"/>
      <c r="AA97" s="428"/>
      <c r="AB97" s="428"/>
      <c r="AC97" s="428"/>
      <c r="AD97" s="428"/>
      <c r="AE97" s="428"/>
      <c r="AF97" s="428"/>
      <c r="AG97" s="428"/>
      <c r="AH97" s="428"/>
      <c r="AI97" s="428"/>
      <c r="AJ97" s="428"/>
      <c r="AK97" s="428"/>
      <c r="AL97" s="428"/>
      <c r="AM97" s="428"/>
      <c r="AN97" s="428"/>
      <c r="AO97" s="428"/>
      <c r="AP97" s="428"/>
      <c r="AQ97" s="428"/>
      <c r="AR97" s="428"/>
      <c r="AS97" s="428"/>
      <c r="AT97" s="428"/>
      <c r="AU97" s="428"/>
      <c r="AV97" s="428"/>
      <c r="AW97" s="428"/>
      <c r="AX97" s="428"/>
      <c r="AY97" s="428"/>
      <c r="AZ97" s="428"/>
    </row>
    <row r="98" spans="1:52" x14ac:dyDescent="0.3">
      <c r="A98" s="428"/>
      <c r="B98" s="428"/>
      <c r="C98" s="428"/>
      <c r="D98" s="428"/>
      <c r="E98" s="428"/>
      <c r="F98" s="428"/>
      <c r="G98" s="428"/>
      <c r="H98" s="428"/>
      <c r="I98" s="428"/>
      <c r="J98" s="428"/>
      <c r="K98" s="428"/>
      <c r="L98" s="428"/>
      <c r="M98" s="428"/>
      <c r="N98" s="428"/>
      <c r="O98" s="428"/>
      <c r="P98" s="428"/>
      <c r="Q98" s="428"/>
      <c r="R98" s="428"/>
      <c r="S98" s="428"/>
      <c r="T98" s="428"/>
      <c r="U98" s="428"/>
      <c r="V98" s="428"/>
      <c r="W98" s="428"/>
      <c r="X98" s="428"/>
      <c r="Y98" s="428"/>
      <c r="Z98" s="428"/>
      <c r="AA98" s="428"/>
      <c r="AB98" s="428"/>
      <c r="AC98" s="428"/>
      <c r="AD98" s="428"/>
      <c r="AE98" s="428"/>
      <c r="AF98" s="428"/>
      <c r="AG98" s="428"/>
      <c r="AH98" s="428"/>
      <c r="AI98" s="428"/>
      <c r="AJ98" s="428"/>
      <c r="AK98" s="428"/>
      <c r="AL98" s="428"/>
      <c r="AM98" s="428"/>
      <c r="AN98" s="428"/>
      <c r="AO98" s="428"/>
      <c r="AP98" s="428"/>
      <c r="AQ98" s="428"/>
      <c r="AR98" s="428"/>
      <c r="AS98" s="428"/>
      <c r="AT98" s="428"/>
      <c r="AU98" s="428"/>
      <c r="AV98" s="428"/>
      <c r="AW98" s="428"/>
      <c r="AX98" s="428"/>
      <c r="AY98" s="428"/>
      <c r="AZ98" s="428"/>
    </row>
  </sheetData>
  <hyperlinks>
    <hyperlink ref="C12" r:id="rId1" xr:uid="{E1C920B7-0723-4D2C-99DC-905E6FFBC675}"/>
    <hyperlink ref="C16" r:id="rId2" xr:uid="{830AAB1D-7AF2-488F-9405-070C1BC9BC00}"/>
    <hyperlink ref="C20" r:id="rId3" xr:uid="{C050F1E2-BAFE-488F-B41A-9D1CDC5FB8D2}"/>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2896-3FB0-45E1-9D79-079BD3D172CA}">
  <sheetPr>
    <tabColor theme="0"/>
  </sheetPr>
  <dimension ref="A1:AF52"/>
  <sheetViews>
    <sheetView zoomScale="85" zoomScaleNormal="85" workbookViewId="0">
      <pane xSplit="5" ySplit="6" topLeftCell="F7" activePane="bottomRight" state="frozen"/>
      <selection activeCell="G66" sqref="G66"/>
      <selection pane="topRight" activeCell="G66" sqref="G66"/>
      <selection pane="bottomLeft" activeCell="G66" sqref="G66"/>
      <selection pane="bottomRight"/>
    </sheetView>
  </sheetViews>
  <sheetFormatPr defaultColWidth="8.85546875" defaultRowHeight="12.75" outlineLevelCol="1" x14ac:dyDescent="0.2"/>
  <cols>
    <col min="1" max="1" width="2.42578125" style="9" customWidth="1"/>
    <col min="2" max="2" width="17.85546875" style="3" bestFit="1" customWidth="1"/>
    <col min="3" max="3" width="11.28515625" style="43" customWidth="1"/>
    <col min="4" max="4" width="9.7109375" style="43" bestFit="1" customWidth="1"/>
    <col min="5" max="6" width="2.42578125" style="43" customWidth="1"/>
    <col min="7" max="7" width="24.85546875" style="415" bestFit="1" customWidth="1"/>
    <col min="8" max="8" width="6.7109375" style="43" bestFit="1" customWidth="1"/>
    <col min="9" max="11" width="0" style="15" hidden="1" customWidth="1" outlineLevel="1"/>
    <col min="12" max="12" width="8.85546875" style="15" collapsed="1"/>
    <col min="13" max="25" width="8.85546875" style="15"/>
    <col min="26" max="26" width="8.85546875" style="440"/>
    <col min="27" max="16384" width="8.85546875" style="15"/>
  </cols>
  <sheetData>
    <row r="1" spans="1:32" s="1" customFormat="1" x14ac:dyDescent="0.2">
      <c r="A1" s="8"/>
      <c r="C1" s="43"/>
      <c r="D1" s="43"/>
      <c r="E1" s="43"/>
      <c r="F1" s="43"/>
      <c r="G1" s="415"/>
      <c r="H1" s="43"/>
      <c r="Z1" s="8"/>
    </row>
    <row r="2" spans="1:32" s="1" customFormat="1" x14ac:dyDescent="0.2">
      <c r="A2" s="8"/>
      <c r="B2" s="2" t="s">
        <v>374</v>
      </c>
      <c r="C2" s="43"/>
      <c r="D2" s="265" t="s">
        <v>1046</v>
      </c>
      <c r="E2" s="408"/>
      <c r="F2" s="181"/>
      <c r="G2" s="416"/>
      <c r="H2" s="181"/>
      <c r="I2" s="34">
        <v>2020</v>
      </c>
      <c r="J2" s="34">
        <f>I2+1</f>
        <v>2021</v>
      </c>
      <c r="K2" s="34">
        <f t="shared" ref="K2:L2" si="0">J2+1</f>
        <v>2022</v>
      </c>
      <c r="L2" s="34">
        <f t="shared" si="0"/>
        <v>2023</v>
      </c>
      <c r="M2" s="34">
        <f>L2+1</f>
        <v>2024</v>
      </c>
      <c r="N2" s="182">
        <f t="shared" ref="N2:W2" si="1">M2+1</f>
        <v>2025</v>
      </c>
      <c r="O2" s="182">
        <f t="shared" si="1"/>
        <v>2026</v>
      </c>
      <c r="P2" s="182">
        <f t="shared" si="1"/>
        <v>2027</v>
      </c>
      <c r="Q2" s="182">
        <f t="shared" si="1"/>
        <v>2028</v>
      </c>
      <c r="R2" s="182">
        <f t="shared" si="1"/>
        <v>2029</v>
      </c>
      <c r="S2" s="182">
        <f t="shared" si="1"/>
        <v>2030</v>
      </c>
      <c r="T2" s="182">
        <f t="shared" si="1"/>
        <v>2031</v>
      </c>
      <c r="U2" s="182">
        <f t="shared" si="1"/>
        <v>2032</v>
      </c>
      <c r="V2" s="182">
        <f t="shared" si="1"/>
        <v>2033</v>
      </c>
      <c r="W2" s="182">
        <f t="shared" si="1"/>
        <v>2034</v>
      </c>
      <c r="X2" s="182">
        <f t="shared" ref="X2" si="2">W2+1</f>
        <v>2035</v>
      </c>
      <c r="Z2" s="8"/>
    </row>
    <row r="3" spans="1:32" s="1" customFormat="1" x14ac:dyDescent="0.2">
      <c r="A3" s="8"/>
      <c r="B3" s="2" t="s">
        <v>375</v>
      </c>
      <c r="C3" s="43"/>
      <c r="D3" s="265" t="s">
        <v>118</v>
      </c>
      <c r="E3" s="408"/>
      <c r="F3" s="34" t="s">
        <v>108</v>
      </c>
      <c r="G3" s="416"/>
      <c r="H3" s="181"/>
      <c r="I3" s="33">
        <v>44196</v>
      </c>
      <c r="J3" s="33">
        <f>EOMONTH(I3,12)</f>
        <v>44561</v>
      </c>
      <c r="K3" s="33">
        <f t="shared" ref="K3:L3" si="3">EOMONTH(J3,12)</f>
        <v>44926</v>
      </c>
      <c r="L3" s="33">
        <f t="shared" si="3"/>
        <v>45291</v>
      </c>
      <c r="M3" s="33">
        <f>EOMONTH(L3,12)</f>
        <v>45657</v>
      </c>
      <c r="N3" s="57">
        <f t="shared" ref="N3:W3" si="4">EOMONTH(M3,12)</f>
        <v>46022</v>
      </c>
      <c r="O3" s="57">
        <f t="shared" si="4"/>
        <v>46387</v>
      </c>
      <c r="P3" s="57">
        <f t="shared" si="4"/>
        <v>46752</v>
      </c>
      <c r="Q3" s="57">
        <f t="shared" si="4"/>
        <v>47118</v>
      </c>
      <c r="R3" s="57">
        <f t="shared" si="4"/>
        <v>47483</v>
      </c>
      <c r="S3" s="57">
        <f t="shared" si="4"/>
        <v>47848</v>
      </c>
      <c r="T3" s="57">
        <f t="shared" si="4"/>
        <v>48213</v>
      </c>
      <c r="U3" s="57">
        <f t="shared" si="4"/>
        <v>48579</v>
      </c>
      <c r="V3" s="57">
        <f t="shared" si="4"/>
        <v>48944</v>
      </c>
      <c r="W3" s="57">
        <f t="shared" si="4"/>
        <v>49309</v>
      </c>
      <c r="X3" s="57">
        <f t="shared" ref="X3" si="5">EOMONTH(W3,12)</f>
        <v>49674</v>
      </c>
      <c r="Z3" s="8"/>
    </row>
    <row r="4" spans="1:32" s="1" customFormat="1" x14ac:dyDescent="0.2">
      <c r="A4" s="8"/>
      <c r="B4" s="2" t="s">
        <v>422</v>
      </c>
      <c r="C4" s="43"/>
      <c r="D4" s="268">
        <v>45895</v>
      </c>
      <c r="E4" s="409"/>
      <c r="F4" s="43"/>
      <c r="G4" s="415"/>
      <c r="H4" s="43"/>
      <c r="Z4" s="8"/>
    </row>
    <row r="5" spans="1:32" s="1" customFormat="1" ht="13.5" thickBot="1" x14ac:dyDescent="0.25">
      <c r="A5" s="8"/>
      <c r="E5" s="409"/>
      <c r="F5" s="142" t="s">
        <v>384</v>
      </c>
      <c r="G5" s="417"/>
      <c r="H5" s="144"/>
      <c r="I5" s="142">
        <f>I$2</f>
        <v>2020</v>
      </c>
      <c r="J5" s="142">
        <f t="shared" ref="J5:X5" si="6">J$2</f>
        <v>2021</v>
      </c>
      <c r="K5" s="142">
        <f t="shared" si="6"/>
        <v>2022</v>
      </c>
      <c r="L5" s="142">
        <f t="shared" si="6"/>
        <v>2023</v>
      </c>
      <c r="M5" s="142">
        <f t="shared" si="6"/>
        <v>2024</v>
      </c>
      <c r="N5" s="142">
        <f t="shared" si="6"/>
        <v>2025</v>
      </c>
      <c r="O5" s="142">
        <f t="shared" si="6"/>
        <v>2026</v>
      </c>
      <c r="P5" s="142">
        <f t="shared" si="6"/>
        <v>2027</v>
      </c>
      <c r="Q5" s="142">
        <f t="shared" si="6"/>
        <v>2028</v>
      </c>
      <c r="R5" s="142">
        <f t="shared" si="6"/>
        <v>2029</v>
      </c>
      <c r="S5" s="142">
        <f t="shared" si="6"/>
        <v>2030</v>
      </c>
      <c r="T5" s="142">
        <f t="shared" si="6"/>
        <v>2031</v>
      </c>
      <c r="U5" s="142">
        <f t="shared" si="6"/>
        <v>2032</v>
      </c>
      <c r="V5" s="142">
        <f t="shared" si="6"/>
        <v>2033</v>
      </c>
      <c r="W5" s="142">
        <f t="shared" si="6"/>
        <v>2034</v>
      </c>
      <c r="X5" s="142">
        <f t="shared" si="6"/>
        <v>2035</v>
      </c>
      <c r="Z5" s="10" t="s">
        <v>822</v>
      </c>
    </row>
    <row r="6" spans="1:32" s="1" customFormat="1" ht="13.5" thickBot="1" x14ac:dyDescent="0.25">
      <c r="A6" s="8"/>
      <c r="B6" s="2" t="s">
        <v>306</v>
      </c>
      <c r="C6" s="43"/>
      <c r="D6" s="183">
        <v>1</v>
      </c>
      <c r="E6" s="410"/>
      <c r="G6" s="418"/>
      <c r="H6" s="43"/>
      <c r="Z6" s="437" t="s">
        <v>823</v>
      </c>
    </row>
    <row r="7" spans="1:32" s="1" customFormat="1" x14ac:dyDescent="0.2">
      <c r="A7" s="8"/>
      <c r="B7" s="2"/>
      <c r="C7" s="43"/>
      <c r="D7" s="9"/>
      <c r="E7" s="410"/>
      <c r="F7" s="2"/>
      <c r="G7" s="153" t="s">
        <v>123</v>
      </c>
      <c r="H7" s="44" t="s">
        <v>295</v>
      </c>
      <c r="I7" s="17"/>
      <c r="J7" s="17"/>
      <c r="K7" s="17"/>
      <c r="L7" s="96">
        <f>Model!H604</f>
        <v>915</v>
      </c>
      <c r="M7" s="96">
        <f>Model!I604</f>
        <v>919</v>
      </c>
      <c r="N7" s="96">
        <f>Model!J604</f>
        <v>1032.5389246113527</v>
      </c>
      <c r="O7" s="96">
        <f>Model!K604</f>
        <v>1121.7432425981642</v>
      </c>
      <c r="P7" s="96">
        <f>Model!L604</f>
        <v>1208.4522923461782</v>
      </c>
      <c r="Q7" s="96">
        <f>Model!M604</f>
        <v>1290.8224997805519</v>
      </c>
      <c r="R7" s="96">
        <f>Model!N604</f>
        <v>1355.4156604123045</v>
      </c>
      <c r="S7" s="96">
        <f>Model!O604</f>
        <v>1423.008007201264</v>
      </c>
      <c r="T7" s="96">
        <f>Model!P604</f>
        <v>1493.7184812574826</v>
      </c>
      <c r="U7" s="96">
        <f>Model!Q604</f>
        <v>1567.6705573520155</v>
      </c>
      <c r="V7" s="96">
        <f>Model!R604</f>
        <v>1644.2887686490164</v>
      </c>
      <c r="W7" s="96">
        <f>Model!S604</f>
        <v>1723.6278687722504</v>
      </c>
      <c r="X7" s="96">
        <f>Model!T604</f>
        <v>1806.485318577676</v>
      </c>
      <c r="Z7" s="435">
        <f>IFERROR((X7/M7)^(1/11)-1,"")</f>
        <v>6.3367881767186551E-2</v>
      </c>
    </row>
    <row r="8" spans="1:32" s="1" customFormat="1" x14ac:dyDescent="0.2">
      <c r="A8" s="8"/>
      <c r="B8" s="34" t="s">
        <v>429</v>
      </c>
      <c r="C8" s="79"/>
      <c r="D8" s="78"/>
      <c r="E8" s="240"/>
      <c r="F8" s="58"/>
      <c r="G8" s="60" t="s">
        <v>142</v>
      </c>
      <c r="H8" s="43" t="s">
        <v>135</v>
      </c>
      <c r="I8" s="98"/>
      <c r="J8" s="98"/>
      <c r="K8" s="98"/>
      <c r="L8" s="98"/>
      <c r="M8" s="99">
        <f>IFERROR(M7/L7-1,"")</f>
        <v>4.3715846994536456E-3</v>
      </c>
      <c r="N8" s="99">
        <f t="shared" ref="N8:X8" si="7">IFERROR(N7/M7-1,"")</f>
        <v>0.12354616388612927</v>
      </c>
      <c r="O8" s="99">
        <f t="shared" si="7"/>
        <v>8.6393176916200076E-2</v>
      </c>
      <c r="P8" s="99">
        <f t="shared" si="7"/>
        <v>7.729848191211719E-2</v>
      </c>
      <c r="Q8" s="99">
        <f t="shared" si="7"/>
        <v>6.8161737088068275E-2</v>
      </c>
      <c r="R8" s="99">
        <f t="shared" si="7"/>
        <v>5.0040312004736354E-2</v>
      </c>
      <c r="S8" s="99">
        <f t="shared" si="7"/>
        <v>4.9868353128219356E-2</v>
      </c>
      <c r="T8" s="99">
        <f t="shared" si="7"/>
        <v>4.969084762586129E-2</v>
      </c>
      <c r="U8" s="99">
        <f t="shared" si="7"/>
        <v>4.9508710658970001E-2</v>
      </c>
      <c r="V8" s="99">
        <f t="shared" si="7"/>
        <v>4.8873923757564386E-2</v>
      </c>
      <c r="W8" s="99">
        <f t="shared" si="7"/>
        <v>4.825131791687709E-2</v>
      </c>
      <c r="X8" s="99">
        <f t="shared" si="7"/>
        <v>4.8071542185289307E-2</v>
      </c>
      <c r="Z8" s="8"/>
    </row>
    <row r="9" spans="1:32" s="1" customFormat="1" x14ac:dyDescent="0.2">
      <c r="A9" s="8"/>
      <c r="B9" s="2" t="s">
        <v>425</v>
      </c>
      <c r="C9" s="43" t="s">
        <v>109</v>
      </c>
      <c r="D9" s="262">
        <v>13.07</v>
      </c>
      <c r="E9" s="9"/>
      <c r="F9" s="3"/>
      <c r="G9" s="60" t="s">
        <v>792</v>
      </c>
      <c r="H9" s="43"/>
      <c r="I9" s="98"/>
      <c r="J9" s="98"/>
      <c r="K9" s="98"/>
      <c r="L9" s="98"/>
      <c r="M9" s="412">
        <f>Model!I547</f>
        <v>0.1029686311602418</v>
      </c>
      <c r="N9" s="412">
        <f>Model!J547</f>
        <v>0.17036058738138449</v>
      </c>
      <c r="O9" s="412">
        <f>Model!K547</f>
        <v>0.13165955928770834</v>
      </c>
      <c r="P9" s="412">
        <f>Model!L547</f>
        <v>0.12218591865845574</v>
      </c>
      <c r="Q9" s="412">
        <f>Model!M547</f>
        <v>0.11266847613340447</v>
      </c>
      <c r="R9" s="412">
        <f>Model!N547</f>
        <v>9.379199167160035E-2</v>
      </c>
      <c r="S9" s="412">
        <f>Model!O547</f>
        <v>9.3612867841895264E-2</v>
      </c>
      <c r="T9" s="412">
        <f>Model!P547</f>
        <v>9.3427966276939056E-2</v>
      </c>
      <c r="U9" s="412">
        <f>Model!Q547</f>
        <v>9.3238240269760242E-2</v>
      </c>
      <c r="V9" s="412">
        <f>Model!R547</f>
        <v>9.2577003914129596E-2</v>
      </c>
      <c r="W9" s="412">
        <f>Model!S547</f>
        <v>9.1928456163413719E-2</v>
      </c>
      <c r="X9" s="412">
        <f>Model!T547</f>
        <v>9.1741189776342935E-2</v>
      </c>
      <c r="Z9" s="8"/>
    </row>
    <row r="10" spans="1:32" s="1" customFormat="1" x14ac:dyDescent="0.2">
      <c r="A10" s="8"/>
      <c r="B10" s="1" t="s">
        <v>282</v>
      </c>
      <c r="C10" s="43" t="s">
        <v>145</v>
      </c>
      <c r="D10" s="444">
        <f>Model!J522</f>
        <v>230.86352299999999</v>
      </c>
      <c r="G10" s="418"/>
      <c r="N10" s="13"/>
      <c r="Z10" s="8"/>
      <c r="AF10" s="187" t="s">
        <v>309</v>
      </c>
    </row>
    <row r="11" spans="1:32" s="1" customFormat="1" x14ac:dyDescent="0.2">
      <c r="A11" s="8"/>
      <c r="B11" s="4" t="s">
        <v>424</v>
      </c>
      <c r="C11" s="47" t="s">
        <v>295</v>
      </c>
      <c r="D11" s="258">
        <f>IFERROR(D9*D10,"")</f>
        <v>3017.3862456100001</v>
      </c>
      <c r="E11" s="411"/>
      <c r="F11" s="2"/>
      <c r="G11" s="153" t="s">
        <v>124</v>
      </c>
      <c r="H11" s="44" t="s">
        <v>295</v>
      </c>
      <c r="I11" s="17"/>
      <c r="J11" s="17"/>
      <c r="K11" s="17"/>
      <c r="L11" s="96">
        <f>Model!H639</f>
        <v>538</v>
      </c>
      <c r="M11" s="96">
        <f>Model!I639</f>
        <v>515</v>
      </c>
      <c r="N11" s="96">
        <f>Model!J639</f>
        <v>547.65010666301589</v>
      </c>
      <c r="O11" s="96">
        <f>Model!K639</f>
        <v>578.13719057715707</v>
      </c>
      <c r="P11" s="96">
        <f>Model!L639</f>
        <v>604.69953336051503</v>
      </c>
      <c r="Q11" s="96">
        <f>Model!M639</f>
        <v>633.00867897290664</v>
      </c>
      <c r="R11" s="96">
        <f>Model!N639</f>
        <v>656.55213680794304</v>
      </c>
      <c r="S11" s="96">
        <f>Model!O639</f>
        <v>683.6012785845636</v>
      </c>
      <c r="T11" s="96">
        <f>Model!P639</f>
        <v>717.57000555555305</v>
      </c>
      <c r="U11" s="96">
        <f>Model!Q639</f>
        <v>753.09597133815851</v>
      </c>
      <c r="V11" s="96">
        <f>Model!R639</f>
        <v>789.90272642346849</v>
      </c>
      <c r="W11" s="96">
        <f>Model!S639</f>
        <v>828.01657399953524</v>
      </c>
      <c r="X11" s="96">
        <f>Model!T639</f>
        <v>867.82060766667269</v>
      </c>
      <c r="Z11" s="435">
        <f>IFERROR((X11/M11)^(1/11)-1,"")</f>
        <v>4.8581198458118147E-2</v>
      </c>
      <c r="AF11" s="187" t="s">
        <v>313</v>
      </c>
    </row>
    <row r="12" spans="1:32" s="1" customFormat="1" x14ac:dyDescent="0.2">
      <c r="A12" s="8"/>
      <c r="B12" s="36" t="s">
        <v>273</v>
      </c>
      <c r="C12" s="43" t="s">
        <v>295</v>
      </c>
      <c r="D12" s="264">
        <f>Model!J794</f>
        <v>329</v>
      </c>
      <c r="E12" s="257"/>
      <c r="F12" s="58"/>
      <c r="G12" s="60" t="s">
        <v>142</v>
      </c>
      <c r="H12" s="43" t="s">
        <v>135</v>
      </c>
      <c r="I12" s="98"/>
      <c r="J12" s="98"/>
      <c r="K12" s="98"/>
      <c r="L12" s="98"/>
      <c r="M12" s="99">
        <f>IFERROR(M11/L11-1,"")</f>
        <v>-4.2750929368029711E-2</v>
      </c>
      <c r="N12" s="99">
        <f t="shared" ref="N12" si="8">IFERROR(N11/M11-1,"")</f>
        <v>6.3398265365079309E-2</v>
      </c>
      <c r="O12" s="99">
        <f t="shared" ref="O12" si="9">IFERROR(O11/N11-1,"")</f>
        <v>5.5668908931484351E-2</v>
      </c>
      <c r="P12" s="99">
        <f t="shared" ref="P12" si="10">IFERROR(P11/O11-1,"")</f>
        <v>4.5944705195043234E-2</v>
      </c>
      <c r="Q12" s="99">
        <f t="shared" ref="Q12" si="11">IFERROR(Q11/P11-1,"")</f>
        <v>4.6815226489539841E-2</v>
      </c>
      <c r="R12" s="99">
        <f t="shared" ref="R12" si="12">IFERROR(R11/Q11-1,"")</f>
        <v>3.7192946348282296E-2</v>
      </c>
      <c r="S12" s="99">
        <f t="shared" ref="S12" si="13">IFERROR(S11/R11-1,"")</f>
        <v>4.1198771978915971E-2</v>
      </c>
      <c r="T12" s="99">
        <f t="shared" ref="T12" si="14">IFERROR(T11/S11-1,"")</f>
        <v>4.969084762586129E-2</v>
      </c>
      <c r="U12" s="99">
        <f t="shared" ref="U12" si="15">IFERROR(U11/T11-1,"")</f>
        <v>4.9508710658970223E-2</v>
      </c>
      <c r="V12" s="99">
        <f t="shared" ref="V12" si="16">IFERROR(V11/U11-1,"")</f>
        <v>4.8873923757564386E-2</v>
      </c>
      <c r="W12" s="99">
        <f t="shared" ref="W12" si="17">IFERROR(W11/V11-1,"")</f>
        <v>4.825131791687709E-2</v>
      </c>
      <c r="X12" s="99">
        <f t="shared" ref="X12" si="18">IFERROR(X11/W11-1,"")</f>
        <v>4.8071542185289307E-2</v>
      </c>
      <c r="Z12" s="8"/>
    </row>
    <row r="13" spans="1:32" s="1" customFormat="1" x14ac:dyDescent="0.2">
      <c r="A13" s="8"/>
      <c r="B13" s="36" t="s">
        <v>106</v>
      </c>
      <c r="C13" s="43" t="s">
        <v>295</v>
      </c>
      <c r="D13" s="264">
        <f>-Model!J795</f>
        <v>654.98936795356803</v>
      </c>
      <c r="E13" s="259"/>
      <c r="F13" s="58"/>
      <c r="G13" s="60" t="s">
        <v>792</v>
      </c>
      <c r="M13" s="412">
        <f>Model!I573</f>
        <v>5.1220198976754672E-2</v>
      </c>
      <c r="N13" s="412">
        <f>Model!J573</f>
        <v>0.10770652642195744</v>
      </c>
      <c r="O13" s="412">
        <f>Model!K573</f>
        <v>9.9655113470296319E-2</v>
      </c>
      <c r="P13" s="412">
        <f>Model!L573</f>
        <v>8.9525734578170368E-2</v>
      </c>
      <c r="Q13" s="412">
        <f>Model!M573</f>
        <v>9.0432527593270695E-2</v>
      </c>
      <c r="R13" s="412">
        <f>Model!N573</f>
        <v>8.0409319112794142E-2</v>
      </c>
      <c r="S13" s="412">
        <f>Model!O573</f>
        <v>8.4582054144704211E-2</v>
      </c>
      <c r="T13" s="412">
        <f>Model!P573</f>
        <v>9.3427966276939056E-2</v>
      </c>
      <c r="U13" s="412">
        <f>Model!Q573</f>
        <v>9.3238240269760464E-2</v>
      </c>
      <c r="V13" s="412">
        <f>Model!R573</f>
        <v>9.2577003914129596E-2</v>
      </c>
      <c r="W13" s="412">
        <f>Model!S573</f>
        <v>9.1928456163413719E-2</v>
      </c>
      <c r="X13" s="412">
        <f>Model!T573</f>
        <v>9.1741189776342935E-2</v>
      </c>
      <c r="Z13" s="8"/>
    </row>
    <row r="14" spans="1:32" s="1" customFormat="1" x14ac:dyDescent="0.2">
      <c r="A14" s="8"/>
      <c r="B14" s="2" t="s">
        <v>272</v>
      </c>
      <c r="C14" s="43" t="s">
        <v>295</v>
      </c>
      <c r="D14" s="259">
        <f>D12-D13</f>
        <v>-325.98936795356803</v>
      </c>
      <c r="E14" s="264"/>
      <c r="F14" s="58"/>
      <c r="G14" s="60" t="s">
        <v>154</v>
      </c>
      <c r="H14" s="43" t="s">
        <v>135</v>
      </c>
      <c r="I14" s="98"/>
      <c r="J14" s="98"/>
      <c r="K14" s="98"/>
      <c r="L14" s="99">
        <f t="shared" ref="L14:X14" si="19">IFERROR(L11/L$7,"")</f>
        <v>0.58797814207650279</v>
      </c>
      <c r="M14" s="99">
        <f t="shared" si="19"/>
        <v>0.56039173014145816</v>
      </c>
      <c r="N14" s="99">
        <f t="shared" si="19"/>
        <v>0.53039173014145802</v>
      </c>
      <c r="O14" s="99">
        <f t="shared" si="19"/>
        <v>0.515391730141458</v>
      </c>
      <c r="P14" s="99">
        <f t="shared" si="19"/>
        <v>0.50039173014145799</v>
      </c>
      <c r="Q14" s="99">
        <f t="shared" si="19"/>
        <v>0.49039173014145798</v>
      </c>
      <c r="R14" s="99">
        <f t="shared" si="19"/>
        <v>0.48439173014145798</v>
      </c>
      <c r="S14" s="99">
        <f t="shared" si="19"/>
        <v>0.48039173014145803</v>
      </c>
      <c r="T14" s="99">
        <f t="shared" si="19"/>
        <v>0.48039173014145797</v>
      </c>
      <c r="U14" s="99">
        <f t="shared" si="19"/>
        <v>0.48039173014145803</v>
      </c>
      <c r="V14" s="99">
        <f t="shared" si="19"/>
        <v>0.48039173014145797</v>
      </c>
      <c r="W14" s="99">
        <f t="shared" si="19"/>
        <v>0.48039173014145797</v>
      </c>
      <c r="X14" s="99">
        <f t="shared" si="19"/>
        <v>0.48039173014145797</v>
      </c>
      <c r="AA14" s="1" t="s">
        <v>1073</v>
      </c>
    </row>
    <row r="15" spans="1:32" s="1" customFormat="1" ht="13.5" thickBot="1" x14ac:dyDescent="0.25">
      <c r="A15" s="8"/>
      <c r="B15" s="5" t="s">
        <v>383</v>
      </c>
      <c r="C15" s="54" t="s">
        <v>295</v>
      </c>
      <c r="D15" s="260">
        <f>D11+D14</f>
        <v>2691.396877656432</v>
      </c>
      <c r="E15" s="264"/>
      <c r="F15" s="3"/>
      <c r="G15" s="60" t="s">
        <v>1109</v>
      </c>
      <c r="H15" s="43" t="s">
        <v>135</v>
      </c>
      <c r="I15" s="98"/>
      <c r="J15" s="98"/>
      <c r="K15" s="98"/>
      <c r="L15" s="99"/>
      <c r="M15" s="99">
        <f t="shared" ref="M15:X15" si="20">IFERROR((M11-L11)/(M$7-L$7),"")</f>
        <v>-5.75</v>
      </c>
      <c r="N15" s="99">
        <f t="shared" si="20"/>
        <v>0.28756751726139929</v>
      </c>
      <c r="O15" s="99">
        <f t="shared" si="20"/>
        <v>0.34176690772579621</v>
      </c>
      <c r="P15" s="99">
        <f t="shared" si="20"/>
        <v>0.30633876003198113</v>
      </c>
      <c r="Q15" s="99">
        <f t="shared" si="20"/>
        <v>0.34368185408475721</v>
      </c>
      <c r="R15" s="99">
        <f t="shared" si="20"/>
        <v>0.36448840101289193</v>
      </c>
      <c r="S15" s="99">
        <f t="shared" si="20"/>
        <v>0.40018053909379503</v>
      </c>
      <c r="T15" s="99">
        <f t="shared" si="20"/>
        <v>0.48039173014145703</v>
      </c>
      <c r="U15" s="99">
        <f t="shared" si="20"/>
        <v>0.48039173014145842</v>
      </c>
      <c r="V15" s="99">
        <f t="shared" si="20"/>
        <v>0.48039173014145681</v>
      </c>
      <c r="W15" s="99">
        <f t="shared" si="20"/>
        <v>0.48039173014145831</v>
      </c>
      <c r="X15" s="99">
        <f t="shared" si="20"/>
        <v>0.4803917301414582</v>
      </c>
      <c r="Z15" s="8"/>
    </row>
    <row r="16" spans="1:32" s="1" customFormat="1" ht="13.5" thickTop="1" x14ac:dyDescent="0.2">
      <c r="A16" s="8"/>
      <c r="C16" s="43"/>
      <c r="D16" s="561"/>
      <c r="E16" s="259"/>
      <c r="F16" s="2"/>
      <c r="G16" s="84"/>
      <c r="H16" s="43"/>
      <c r="I16" s="15"/>
      <c r="J16" s="15"/>
      <c r="K16" s="15"/>
      <c r="L16" s="15"/>
      <c r="M16" s="15"/>
      <c r="N16" s="15"/>
      <c r="O16" s="15"/>
      <c r="P16" s="15"/>
      <c r="Q16" s="15"/>
      <c r="R16" s="15"/>
      <c r="S16" s="15"/>
      <c r="T16" s="15"/>
      <c r="U16" s="15"/>
      <c r="V16" s="15"/>
      <c r="W16" s="15"/>
      <c r="X16" s="15"/>
      <c r="Z16" s="8"/>
    </row>
    <row r="17" spans="1:26" s="1" customFormat="1" x14ac:dyDescent="0.2">
      <c r="A17" s="8"/>
      <c r="B17" s="1" t="s">
        <v>820</v>
      </c>
      <c r="D17" s="436">
        <f>O39</f>
        <v>8.8016120540247389</v>
      </c>
      <c r="E17" s="259"/>
      <c r="F17" s="58"/>
      <c r="G17" s="153" t="s">
        <v>298</v>
      </c>
      <c r="H17" s="44" t="s">
        <v>295</v>
      </c>
      <c r="I17" s="17"/>
      <c r="J17" s="17"/>
      <c r="K17" s="17"/>
      <c r="L17" s="96">
        <f>Model!H661</f>
        <v>281</v>
      </c>
      <c r="M17" s="96">
        <f>Model!I661</f>
        <v>283</v>
      </c>
      <c r="N17" s="96">
        <f>Model!J661</f>
        <v>297.63220713611054</v>
      </c>
      <c r="O17" s="96">
        <f>Model!K661</f>
        <v>342.82199977562419</v>
      </c>
      <c r="P17" s="96">
        <f>Model!L661</f>
        <v>359.80176056717363</v>
      </c>
      <c r="Q17" s="96">
        <f>Model!M661</f>
        <v>383.59837318184145</v>
      </c>
      <c r="R17" s="96">
        <f>Model!N661</f>
        <v>408.97062335132603</v>
      </c>
      <c r="S17" s="96">
        <f>Model!O661</f>
        <v>428.36853067364615</v>
      </c>
      <c r="T17" s="96">
        <f>Model!P661</f>
        <v>468.28271759182832</v>
      </c>
      <c r="U17" s="96">
        <f>Model!Q661</f>
        <v>513.79901116978624</v>
      </c>
      <c r="V17" s="96">
        <f>Model!R661</f>
        <v>565.65847889648921</v>
      </c>
      <c r="W17" s="96">
        <f>Model!S661</f>
        <v>610.50568382390884</v>
      </c>
      <c r="X17" s="96">
        <f>Model!T661</f>
        <v>672.06893217958952</v>
      </c>
      <c r="Z17" s="435">
        <f>IFERROR((X17/M17)^(1/11)-1,"")</f>
        <v>8.1802408508462099E-2</v>
      </c>
    </row>
    <row r="18" spans="1:26" s="1" customFormat="1" x14ac:dyDescent="0.2">
      <c r="A18" s="8"/>
      <c r="B18" s="1" t="s">
        <v>821</v>
      </c>
      <c r="D18" s="436">
        <f>O38</f>
        <v>4.6552910304379447</v>
      </c>
      <c r="E18" s="43"/>
      <c r="F18" s="58"/>
      <c r="G18" s="60" t="s">
        <v>142</v>
      </c>
      <c r="H18" s="43" t="s">
        <v>135</v>
      </c>
      <c r="I18" s="98"/>
      <c r="J18" s="98"/>
      <c r="K18" s="98"/>
      <c r="L18" s="98"/>
      <c r="M18" s="99">
        <f>IFERROR(M17/L17-1,"")</f>
        <v>7.1174377224199059E-3</v>
      </c>
      <c r="N18" s="99">
        <f t="shared" ref="N18:X18" si="21">IFERROR(N17/M17-1,"")</f>
        <v>5.170391214173331E-2</v>
      </c>
      <c r="O18" s="99">
        <f t="shared" si="21"/>
        <v>0.15183098991315758</v>
      </c>
      <c r="P18" s="99">
        <f t="shared" si="21"/>
        <v>4.952937910245736E-2</v>
      </c>
      <c r="Q18" s="99">
        <f t="shared" si="21"/>
        <v>6.6138121662206562E-2</v>
      </c>
      <c r="R18" s="99">
        <f t="shared" si="21"/>
        <v>6.6142747058671958E-2</v>
      </c>
      <c r="S18" s="99">
        <f t="shared" si="21"/>
        <v>4.7431053026164127E-2</v>
      </c>
      <c r="T18" s="99">
        <f t="shared" si="21"/>
        <v>9.3177215551790704E-2</v>
      </c>
      <c r="U18" s="99">
        <f t="shared" si="21"/>
        <v>9.7198320305366348E-2</v>
      </c>
      <c r="V18" s="99">
        <f t="shared" si="21"/>
        <v>0.10093337394447777</v>
      </c>
      <c r="W18" s="99">
        <f t="shared" si="21"/>
        <v>7.9283183405841395E-2</v>
      </c>
      <c r="X18" s="99">
        <f t="shared" si="21"/>
        <v>0.10083976281773266</v>
      </c>
      <c r="Z18" s="8"/>
    </row>
    <row r="19" spans="1:26" s="1" customFormat="1" x14ac:dyDescent="0.2">
      <c r="A19" s="8"/>
      <c r="E19" s="267"/>
      <c r="G19" s="60" t="s">
        <v>792</v>
      </c>
      <c r="M19" s="412">
        <f>Model!I595</f>
        <v>0.10598403880044782</v>
      </c>
      <c r="N19" s="412">
        <f>Model!J595</f>
        <v>9.5524908480971948E-2</v>
      </c>
      <c r="O19" s="412">
        <f>Model!K595</f>
        <v>0.19982394782620605</v>
      </c>
      <c r="P19" s="412">
        <f>Model!L595</f>
        <v>9.3259769898393685E-2</v>
      </c>
      <c r="Q19" s="412">
        <f>Model!M595</f>
        <v>0.11056054339813137</v>
      </c>
      <c r="R19" s="412">
        <f>Model!N595</f>
        <v>0.11056536151944973</v>
      </c>
      <c r="S19" s="412">
        <f>Model!O595</f>
        <v>9.1074013568920975E-2</v>
      </c>
      <c r="T19" s="412">
        <f>Model!P595</f>
        <v>0.13872626619978234</v>
      </c>
      <c r="U19" s="412">
        <f>Model!Q595</f>
        <v>0.14291491698475633</v>
      </c>
      <c r="V19" s="412">
        <f>Model!R595</f>
        <v>0.14680559785883118</v>
      </c>
      <c r="W19" s="412">
        <f>Model!S595</f>
        <v>0.12425331604775192</v>
      </c>
      <c r="X19" s="412">
        <f>Model!T595</f>
        <v>0.14670808626847109</v>
      </c>
      <c r="Z19" s="8"/>
    </row>
    <row r="20" spans="1:26" s="1" customFormat="1" x14ac:dyDescent="0.2">
      <c r="A20" s="8"/>
      <c r="B20" s="2" t="s">
        <v>1012</v>
      </c>
      <c r="C20" s="43" t="s">
        <v>109</v>
      </c>
      <c r="D20" s="267">
        <f>Valuation!$C$58</f>
        <v>14.405659409037893</v>
      </c>
      <c r="E20" s="269"/>
      <c r="F20" s="3"/>
      <c r="G20" s="60" t="s">
        <v>276</v>
      </c>
      <c r="H20" s="43" t="s">
        <v>135</v>
      </c>
      <c r="I20" s="98"/>
      <c r="J20" s="98"/>
      <c r="K20" s="98"/>
      <c r="L20" s="99">
        <f t="shared" ref="L20:X20" si="22">IFERROR(L17/L$7,"")</f>
        <v>0.307103825136612</v>
      </c>
      <c r="M20" s="99">
        <f t="shared" si="22"/>
        <v>0.30794341675734493</v>
      </c>
      <c r="N20" s="99">
        <f t="shared" si="22"/>
        <v>0.28825277192154203</v>
      </c>
      <c r="O20" s="99">
        <f t="shared" si="22"/>
        <v>0.30561539107789515</v>
      </c>
      <c r="P20" s="99">
        <f t="shared" si="22"/>
        <v>0.29773766233553833</v>
      </c>
      <c r="Q20" s="99">
        <f t="shared" si="22"/>
        <v>0.29717360306862922</v>
      </c>
      <c r="R20" s="99">
        <f t="shared" si="22"/>
        <v>0.30173077919648728</v>
      </c>
      <c r="S20" s="99">
        <f t="shared" si="22"/>
        <v>0.30103030236361811</v>
      </c>
      <c r="T20" s="99">
        <f t="shared" si="22"/>
        <v>0.31350132134510772</v>
      </c>
      <c r="U20" s="99">
        <f t="shared" si="22"/>
        <v>0.32774680162243697</v>
      </c>
      <c r="V20" s="99">
        <f t="shared" si="22"/>
        <v>0.34401407446287341</v>
      </c>
      <c r="W20" s="99">
        <f t="shared" si="22"/>
        <v>0.35419808120112112</v>
      </c>
      <c r="X20" s="99">
        <f t="shared" si="22"/>
        <v>0.37203121734127265</v>
      </c>
      <c r="Z20" s="8"/>
    </row>
    <row r="21" spans="1:26" s="1" customFormat="1" x14ac:dyDescent="0.2">
      <c r="A21" s="8"/>
      <c r="B21" s="1" t="s">
        <v>426</v>
      </c>
      <c r="C21" s="43" t="s">
        <v>109</v>
      </c>
      <c r="D21" s="269">
        <f>O22</f>
        <v>1.4849552468088438</v>
      </c>
      <c r="E21" s="261"/>
      <c r="F21" s="3"/>
      <c r="G21" s="84"/>
      <c r="H21" s="43"/>
      <c r="I21" s="15"/>
      <c r="J21" s="15"/>
      <c r="K21" s="15"/>
      <c r="L21" s="15"/>
      <c r="M21" s="15"/>
      <c r="N21" s="15"/>
      <c r="O21" s="15"/>
      <c r="P21" s="15"/>
      <c r="Q21" s="15"/>
      <c r="R21" s="15"/>
      <c r="S21" s="15"/>
      <c r="T21" s="15"/>
      <c r="U21" s="15"/>
      <c r="V21" s="15"/>
      <c r="W21" s="15"/>
      <c r="X21" s="15"/>
      <c r="Z21" s="8"/>
    </row>
    <row r="22" spans="1:26" s="1" customFormat="1" x14ac:dyDescent="0.2">
      <c r="A22" s="8"/>
      <c r="B22" s="1" t="s">
        <v>1013</v>
      </c>
      <c r="C22" s="43" t="s">
        <v>22</v>
      </c>
      <c r="D22" s="261">
        <f>IFERROR(D20/D21,"")</f>
        <v>9.701073106408785</v>
      </c>
      <c r="E22" s="261"/>
      <c r="F22" s="3"/>
      <c r="G22" s="153" t="s">
        <v>305</v>
      </c>
      <c r="H22" s="44" t="s">
        <v>109</v>
      </c>
      <c r="I22" s="17"/>
      <c r="J22" s="17"/>
      <c r="K22" s="17"/>
      <c r="L22" s="254"/>
      <c r="M22" s="413">
        <f>Model!I666</f>
        <v>1.2948740785289425</v>
      </c>
      <c r="N22" s="413">
        <f>Model!J666</f>
        <v>1.2892127923392669</v>
      </c>
      <c r="O22" s="413">
        <f>Model!K666</f>
        <v>1.4849552468088438</v>
      </c>
      <c r="P22" s="413">
        <f>Model!L666</f>
        <v>1.5585041581782222</v>
      </c>
      <c r="Q22" s="413">
        <f>Model!M666</f>
        <v>1.6615806958028683</v>
      </c>
      <c r="R22" s="413">
        <f>Model!N666</f>
        <v>1.7714822074829295</v>
      </c>
      <c r="S22" s="413">
        <f>Model!O666</f>
        <v>1.8555054740009584</v>
      </c>
      <c r="T22" s="413">
        <f>Model!P666</f>
        <v>2.0283963075094733</v>
      </c>
      <c r="U22" s="413">
        <f>Model!Q666</f>
        <v>2.2255530215130013</v>
      </c>
      <c r="V22" s="413">
        <f>Model!R666</f>
        <v>2.4501855968666355</v>
      </c>
      <c r="W22" s="413">
        <f>Model!S666</f>
        <v>2.6444441109213641</v>
      </c>
      <c r="X22" s="413">
        <f>Model!T666</f>
        <v>2.9111092278514246</v>
      </c>
      <c r="Z22" s="435">
        <f>IFERROR((X22/M22)^(1/11)-1,"")</f>
        <v>7.6427125050891664E-2</v>
      </c>
    </row>
    <row r="23" spans="1:26" s="1" customFormat="1" x14ac:dyDescent="0.2">
      <c r="A23" s="8"/>
      <c r="B23" s="1" t="s">
        <v>1014</v>
      </c>
      <c r="C23" s="43" t="s">
        <v>22</v>
      </c>
      <c r="D23" s="261">
        <f>((D20*D10)+D14)/O11</f>
        <v>5.1886506580909479</v>
      </c>
      <c r="E23" s="263"/>
      <c r="F23" s="3"/>
      <c r="G23" s="60" t="s">
        <v>142</v>
      </c>
      <c r="H23" s="43" t="s">
        <v>135</v>
      </c>
      <c r="I23" s="98"/>
      <c r="J23" s="98"/>
      <c r="K23" s="98"/>
      <c r="L23" s="98"/>
      <c r="M23" s="99" t="str">
        <f>IFERROR(M22/L22-1,"")</f>
        <v/>
      </c>
      <c r="N23" s="99">
        <f t="shared" ref="N23" si="23">IFERROR(N22/M22-1,"")</f>
        <v>-4.3720746932452981E-3</v>
      </c>
      <c r="O23" s="99">
        <f t="shared" ref="O23" si="24">IFERROR(O22/N22-1,"")</f>
        <v>0.15183098991315758</v>
      </c>
      <c r="P23" s="99">
        <f t="shared" ref="P23" si="25">IFERROR(P22/O22-1,"")</f>
        <v>4.952937910245736E-2</v>
      </c>
      <c r="Q23" s="99">
        <f t="shared" ref="Q23" si="26">IFERROR(Q22/P22-1,"")</f>
        <v>6.6138121662206562E-2</v>
      </c>
      <c r="R23" s="99">
        <f t="shared" ref="R23" si="27">IFERROR(R22/Q22-1,"")</f>
        <v>6.6142747058671958E-2</v>
      </c>
      <c r="S23" s="99">
        <f t="shared" ref="S23" si="28">IFERROR(S22/R22-1,"")</f>
        <v>4.7431053026164127E-2</v>
      </c>
      <c r="T23" s="99">
        <f t="shared" ref="T23" si="29">IFERROR(T22/S22-1,"")</f>
        <v>9.3177215551790704E-2</v>
      </c>
      <c r="U23" s="99">
        <f t="shared" ref="U23" si="30">IFERROR(U22/T22-1,"")</f>
        <v>9.7198320305366348E-2</v>
      </c>
      <c r="V23" s="99">
        <f t="shared" ref="V23" si="31">IFERROR(V22/U22-1,"")</f>
        <v>0.10093337394447777</v>
      </c>
      <c r="W23" s="99">
        <f t="shared" ref="W23" si="32">IFERROR(W22/V22-1,"")</f>
        <v>7.9283183405841395E-2</v>
      </c>
      <c r="X23" s="99">
        <f t="shared" ref="X23" si="33">IFERROR(X22/W22-1,"")</f>
        <v>0.10083976281773266</v>
      </c>
      <c r="Z23" s="8"/>
    </row>
    <row r="24" spans="1:26" s="1" customFormat="1" x14ac:dyDescent="0.2">
      <c r="A24" s="8"/>
      <c r="B24" s="2"/>
      <c r="C24" s="43"/>
      <c r="D24" s="435"/>
      <c r="E24" s="43"/>
      <c r="F24" s="3"/>
      <c r="G24" s="187"/>
      <c r="H24" s="43"/>
      <c r="I24" s="15"/>
      <c r="J24" s="15"/>
      <c r="K24" s="15"/>
      <c r="L24" s="15"/>
      <c r="M24" s="15"/>
      <c r="N24" s="15"/>
      <c r="O24" s="15"/>
      <c r="P24" s="15"/>
      <c r="Q24" s="15"/>
      <c r="R24" s="15"/>
      <c r="S24" s="15"/>
      <c r="T24" s="15"/>
      <c r="U24" s="15"/>
      <c r="V24" s="15"/>
      <c r="W24" s="15"/>
      <c r="X24" s="15"/>
      <c r="Z24" s="8"/>
    </row>
    <row r="25" spans="1:26" s="1" customFormat="1" x14ac:dyDescent="0.2">
      <c r="A25" s="8"/>
      <c r="E25" s="43"/>
      <c r="F25" s="3"/>
      <c r="G25" s="153" t="s">
        <v>280</v>
      </c>
      <c r="H25" s="44" t="s">
        <v>295</v>
      </c>
      <c r="I25" s="15"/>
      <c r="J25" s="15"/>
      <c r="K25" s="15"/>
      <c r="L25" s="17"/>
      <c r="M25" s="96">
        <f>Model!I808</f>
        <v>145</v>
      </c>
      <c r="N25" s="96">
        <f>Model!J808</f>
        <v>176.65984319516213</v>
      </c>
      <c r="O25" s="96">
        <f>Model!K808</f>
        <v>204.57821511171525</v>
      </c>
      <c r="P25" s="96">
        <f>Model!L808</f>
        <v>224.96501638454976</v>
      </c>
      <c r="Q25" s="96">
        <f>Model!M808</f>
        <v>249.48434218008467</v>
      </c>
      <c r="R25" s="96">
        <f>Model!N808</f>
        <v>275.24100267103449</v>
      </c>
      <c r="S25" s="96">
        <f>Model!O808</f>
        <v>314.60450971935029</v>
      </c>
      <c r="T25" s="96">
        <f>Model!P808</f>
        <v>358.37112909277892</v>
      </c>
      <c r="U25" s="96">
        <f>Model!Q808</f>
        <v>410.70524072456385</v>
      </c>
      <c r="V25" s="96">
        <f>Model!R808</f>
        <v>468.5914674983203</v>
      </c>
      <c r="W25" s="96">
        <f>Model!S808</f>
        <v>524.05280465812893</v>
      </c>
      <c r="X25" s="96">
        <f>Model!T808</f>
        <v>582.08105013899205</v>
      </c>
      <c r="Z25" s="435">
        <f>IFERROR((X25/M25)^(1/11)-1,"")</f>
        <v>0.1346819140637916</v>
      </c>
    </row>
    <row r="26" spans="1:26" s="1" customFormat="1" x14ac:dyDescent="0.2">
      <c r="A26" s="8"/>
      <c r="C26" s="17" t="s">
        <v>495</v>
      </c>
      <c r="D26" s="17" t="s">
        <v>389</v>
      </c>
      <c r="E26" s="43"/>
      <c r="F26" s="3"/>
      <c r="G26" s="60" t="s">
        <v>142</v>
      </c>
      <c r="H26" s="43" t="s">
        <v>135</v>
      </c>
      <c r="I26" s="98"/>
      <c r="J26" s="98"/>
      <c r="K26" s="98"/>
      <c r="L26" s="98"/>
      <c r="M26" s="99" t="str">
        <f>IFERROR(M25/L25-1,"")</f>
        <v/>
      </c>
      <c r="N26" s="99">
        <f t="shared" ref="N26" si="34">IFERROR(N25/M25-1,"")</f>
        <v>0.21834374617353181</v>
      </c>
      <c r="O26" s="99">
        <f t="shared" ref="O26" si="35">IFERROR(O25/N25-1,"")</f>
        <v>0.15803462412060876</v>
      </c>
      <c r="P26" s="99">
        <f t="shared" ref="P26" si="36">IFERROR(P25/O25-1,"")</f>
        <v>9.9652845547126168E-2</v>
      </c>
      <c r="Q26" s="99">
        <f t="shared" ref="Q26" si="37">IFERROR(Q25/P25-1,"")</f>
        <v>0.10899172764543152</v>
      </c>
      <c r="R26" s="99">
        <f t="shared" ref="R26" si="38">IFERROR(R25/Q25-1,"")</f>
        <v>0.10323958716558645</v>
      </c>
      <c r="S26" s="99">
        <f t="shared" ref="S26" si="39">IFERROR(S25/R25-1,"")</f>
        <v>0.14301469136617961</v>
      </c>
      <c r="T26" s="99">
        <f t="shared" ref="T26" si="40">IFERROR(T25/S25-1,"")</f>
        <v>0.13911631277145897</v>
      </c>
      <c r="U26" s="99">
        <f t="shared" ref="U26" si="41">IFERROR(U25/T25-1,"")</f>
        <v>0.14603328053872366</v>
      </c>
      <c r="V26" s="99">
        <f t="shared" ref="V26" si="42">IFERROR(V25/U25-1,"")</f>
        <v>0.14094348217138375</v>
      </c>
      <c r="W26" s="99">
        <f t="shared" ref="W26" si="43">IFERROR(W25/V25-1,"")</f>
        <v>0.11835754811307453</v>
      </c>
      <c r="X26" s="99">
        <f t="shared" ref="X26" si="44">IFERROR(X25/W25-1,"")</f>
        <v>0.11072976800251721</v>
      </c>
      <c r="Z26" s="8"/>
    </row>
    <row r="27" spans="1:26" s="17" customFormat="1" x14ac:dyDescent="0.2">
      <c r="A27" s="10"/>
      <c r="B27" s="1" t="s">
        <v>493</v>
      </c>
      <c r="C27" s="550">
        <v>0.5</v>
      </c>
      <c r="D27" s="587">
        <f>Valuation!D61</f>
        <v>14.4</v>
      </c>
      <c r="E27" s="44"/>
      <c r="F27" s="3"/>
      <c r="G27" s="60" t="s">
        <v>1074</v>
      </c>
      <c r="H27" s="43"/>
      <c r="I27" s="15"/>
      <c r="J27" s="15"/>
      <c r="K27" s="15"/>
      <c r="L27" s="15"/>
      <c r="M27" s="256">
        <f>IFERROR(M25/M$7,"")</f>
        <v>0.15778019586507072</v>
      </c>
      <c r="N27" s="256">
        <f>IFERROR(N25/N$7,"")</f>
        <v>0.17109267165076303</v>
      </c>
      <c r="O27" s="256">
        <f t="shared" ref="O27:X27" si="45">IFERROR(O25/O$7,"")</f>
        <v>0.1823752596341694</v>
      </c>
      <c r="P27" s="256">
        <f t="shared" si="45"/>
        <v>0.18615961739605469</v>
      </c>
      <c r="Q27" s="256">
        <f t="shared" si="45"/>
        <v>0.19327548305247128</v>
      </c>
      <c r="R27" s="256">
        <f t="shared" si="45"/>
        <v>0.20306759816196074</v>
      </c>
      <c r="S27" s="256">
        <f t="shared" si="45"/>
        <v>0.22108414578643618</v>
      </c>
      <c r="T27" s="256">
        <f t="shared" si="45"/>
        <v>0.23991878897493804</v>
      </c>
      <c r="U27" s="256">
        <f t="shared" si="45"/>
        <v>0.26198440660791289</v>
      </c>
      <c r="V27" s="256">
        <f t="shared" si="45"/>
        <v>0.28498124929924884</v>
      </c>
      <c r="W27" s="256">
        <f t="shared" si="45"/>
        <v>0.30404057288271547</v>
      </c>
      <c r="X27" s="256">
        <f t="shared" si="45"/>
        <v>0.32221742637647871</v>
      </c>
      <c r="Z27" s="438"/>
    </row>
    <row r="28" spans="1:26" s="98" customFormat="1" x14ac:dyDescent="0.2">
      <c r="A28" s="43"/>
      <c r="B28" s="1" t="s">
        <v>494</v>
      </c>
      <c r="C28" s="551">
        <v>0.5</v>
      </c>
      <c r="D28" s="587">
        <f>Valuation!D62</f>
        <v>18.3</v>
      </c>
      <c r="E28" s="43"/>
      <c r="Z28" s="435">
        <f>IFERROR((X29/M29)^(1/11)-1,"")</f>
        <v>0.12904388176297532</v>
      </c>
    </row>
    <row r="29" spans="1:26" ht="13.5" thickBot="1" x14ac:dyDescent="0.25">
      <c r="B29" s="4" t="s">
        <v>1007</v>
      </c>
      <c r="C29" s="49"/>
      <c r="D29" s="549">
        <f>SUMPRODUCT(D27:D28,C27:C28)</f>
        <v>16.350000000000001</v>
      </c>
      <c r="F29" s="3"/>
      <c r="G29" s="153" t="s">
        <v>415</v>
      </c>
      <c r="H29" s="44" t="s">
        <v>109</v>
      </c>
      <c r="L29" s="254"/>
      <c r="M29" s="413">
        <f>Model!I669</f>
        <v>0.66345138299186102</v>
      </c>
      <c r="N29" s="413">
        <f>Model!J669</f>
        <v>0.7652133212710357</v>
      </c>
      <c r="O29" s="413">
        <f>Model!K669</f>
        <v>0.88614352087018644</v>
      </c>
      <c r="P29" s="413">
        <f>Model!L669</f>
        <v>0.97445024428804961</v>
      </c>
      <c r="Q29" s="413">
        <f>Model!M669</f>
        <v>1.080657259917517</v>
      </c>
      <c r="R29" s="413">
        <f>Model!N669</f>
        <v>1.1922238692988953</v>
      </c>
      <c r="S29" s="413">
        <f>Model!O669</f>
        <v>1.3627293980060693</v>
      </c>
      <c r="T29" s="413">
        <f>Model!P669</f>
        <v>1.5523072871619434</v>
      </c>
      <c r="U29" s="413">
        <f>Model!Q669</f>
        <v>1.7789958127103687</v>
      </c>
      <c r="V29" s="413">
        <f>Model!R669</f>
        <v>2.0297336773220787</v>
      </c>
      <c r="W29" s="413">
        <f>Model!S669</f>
        <v>2.2699679786924545</v>
      </c>
      <c r="X29" s="413">
        <f>Model!T669</f>
        <v>2.5213210063462128</v>
      </c>
    </row>
    <row r="30" spans="1:26" s="17" customFormat="1" x14ac:dyDescent="0.2">
      <c r="A30" s="10"/>
      <c r="B30" s="2" t="s">
        <v>428</v>
      </c>
      <c r="C30" s="43" t="s">
        <v>135</v>
      </c>
      <c r="D30" s="435">
        <f>IFERROR(D29/D9-1,"")</f>
        <v>0.25095638867635817</v>
      </c>
      <c r="E30" s="44"/>
      <c r="F30" s="3"/>
      <c r="G30" s="60" t="s">
        <v>142</v>
      </c>
      <c r="H30" s="43" t="s">
        <v>135</v>
      </c>
      <c r="I30" s="98"/>
      <c r="J30" s="98"/>
      <c r="K30" s="98"/>
      <c r="L30" s="98"/>
      <c r="M30" s="99" t="str">
        <f>IFERROR(M29/L29-1,"")</f>
        <v/>
      </c>
      <c r="N30" s="99">
        <f t="shared" ref="N30" si="46">IFERROR(N29/M29-1,"")</f>
        <v>0.15338266056553396</v>
      </c>
      <c r="O30" s="99">
        <f t="shared" ref="O30" si="47">IFERROR(O29/N29-1,"")</f>
        <v>0.15803462412060876</v>
      </c>
      <c r="P30" s="99">
        <f t="shared" ref="P30" si="48">IFERROR(P29/O29-1,"")</f>
        <v>9.9652845547125946E-2</v>
      </c>
      <c r="Q30" s="99">
        <f t="shared" ref="Q30" si="49">IFERROR(Q29/P29-1,"")</f>
        <v>0.10899172764543175</v>
      </c>
      <c r="R30" s="99">
        <f t="shared" ref="R30" si="50">IFERROR(R29/Q29-1,"")</f>
        <v>0.10323958716558645</v>
      </c>
      <c r="S30" s="99">
        <f t="shared" ref="S30" si="51">IFERROR(S29/R29-1,"")</f>
        <v>0.14301469136617961</v>
      </c>
      <c r="T30" s="99">
        <f t="shared" ref="T30" si="52">IFERROR(T29/S29-1,"")</f>
        <v>0.13911631277145875</v>
      </c>
      <c r="U30" s="99">
        <f t="shared" ref="U30" si="53">IFERROR(U29/T29-1,"")</f>
        <v>0.14603328053872366</v>
      </c>
      <c r="V30" s="99">
        <f t="shared" ref="V30" si="54">IFERROR(V29/U29-1,"")</f>
        <v>0.14094348217138375</v>
      </c>
      <c r="W30" s="99">
        <f t="shared" ref="W30" si="55">IFERROR(W29/V29-1,"")</f>
        <v>0.11835754811307453</v>
      </c>
      <c r="X30" s="99">
        <f t="shared" ref="X30" si="56">IFERROR(X29/W29-1,"")</f>
        <v>0.11072976800251721</v>
      </c>
      <c r="Z30" s="438"/>
    </row>
    <row r="31" spans="1:26" s="98" customFormat="1" x14ac:dyDescent="0.2">
      <c r="A31" s="43"/>
      <c r="D31" s="43"/>
      <c r="E31" s="43"/>
      <c r="G31" s="187"/>
      <c r="H31" s="43"/>
      <c r="I31" s="15"/>
      <c r="J31" s="15"/>
      <c r="K31" s="15"/>
      <c r="L31" s="15"/>
      <c r="M31" s="15"/>
      <c r="N31" s="15"/>
      <c r="O31" s="15"/>
      <c r="P31" s="15"/>
      <c r="Q31" s="15"/>
      <c r="R31" s="15"/>
      <c r="S31" s="15"/>
      <c r="T31" s="15"/>
      <c r="U31" s="15"/>
      <c r="V31" s="15"/>
      <c r="W31" s="15"/>
      <c r="X31" s="15"/>
      <c r="Z31" s="439"/>
    </row>
    <row r="32" spans="1:26" s="98" customFormat="1" x14ac:dyDescent="0.2">
      <c r="A32" s="43"/>
      <c r="B32" s="1" t="s">
        <v>426</v>
      </c>
      <c r="C32" s="43" t="s">
        <v>109</v>
      </c>
      <c r="D32" s="269">
        <f>O22</f>
        <v>1.4849552468088438</v>
      </c>
      <c r="E32" s="43"/>
      <c r="G32" s="153" t="s">
        <v>40</v>
      </c>
      <c r="H32" s="44" t="s">
        <v>109</v>
      </c>
      <c r="M32" s="96">
        <f>Model!I396</f>
        <v>221</v>
      </c>
      <c r="N32" s="96">
        <f>Model!J396</f>
        <v>238.39886056849463</v>
      </c>
      <c r="O32" s="96">
        <f>Model!K396</f>
        <v>255.16108948720267</v>
      </c>
      <c r="P32" s="96">
        <f>Model!L396</f>
        <v>270.75450094338424</v>
      </c>
      <c r="Q32" s="96">
        <f>Model!M396</f>
        <v>280.38625438271231</v>
      </c>
      <c r="R32" s="96">
        <f>Model!N396</f>
        <v>285.15200349433542</v>
      </c>
      <c r="S32" s="96">
        <f>Model!O396</f>
        <v>289.64517412400414</v>
      </c>
      <c r="T32" s="96">
        <f>Model!P396</f>
        <v>293.8276607435605</v>
      </c>
      <c r="U32" s="96">
        <f>Model!Q396</f>
        <v>297.65896658582574</v>
      </c>
      <c r="V32" s="96">
        <f>Model!R396</f>
        <v>300.96728600841493</v>
      </c>
      <c r="W32" s="96">
        <f>Model!S396</f>
        <v>315.48935420818657</v>
      </c>
      <c r="X32" s="96">
        <f>Model!T396</f>
        <v>330.6554140080151</v>
      </c>
      <c r="Z32" s="439"/>
    </row>
    <row r="33" spans="1:26" s="98" customFormat="1" x14ac:dyDescent="0.2">
      <c r="A33" s="43"/>
      <c r="B33" s="1" t="s">
        <v>427</v>
      </c>
      <c r="C33" s="43" t="s">
        <v>22</v>
      </c>
      <c r="D33" s="261">
        <f>D29/D32</f>
        <v>11.010432829633089</v>
      </c>
      <c r="E33" s="43"/>
      <c r="G33" s="60" t="s">
        <v>999</v>
      </c>
      <c r="H33" s="43" t="s">
        <v>135</v>
      </c>
      <c r="M33" s="99">
        <f>IFERROR(M32/M$7,"")</f>
        <v>0.24047878128400435</v>
      </c>
      <c r="N33" s="99">
        <f t="shared" ref="N33:X33" si="57">IFERROR(N32/N$7,"")</f>
        <v>0.23088607594936711</v>
      </c>
      <c r="O33" s="99">
        <f t="shared" si="57"/>
        <v>0.22746835443037974</v>
      </c>
      <c r="P33" s="99">
        <f t="shared" si="57"/>
        <v>0.22405063291139243</v>
      </c>
      <c r="Q33" s="99">
        <f>IFERROR(Q32/Q$7,"")</f>
        <v>0.21721518987341773</v>
      </c>
      <c r="R33" s="99">
        <f t="shared" si="57"/>
        <v>0.210379746835443</v>
      </c>
      <c r="S33" s="99">
        <f t="shared" si="57"/>
        <v>0.20354430379746838</v>
      </c>
      <c r="T33" s="99">
        <f t="shared" si="57"/>
        <v>0.19670886075949368</v>
      </c>
      <c r="U33" s="99">
        <f t="shared" si="57"/>
        <v>0.189873417721519</v>
      </c>
      <c r="V33" s="99">
        <f t="shared" si="57"/>
        <v>0.18303797468354432</v>
      </c>
      <c r="W33" s="99">
        <f t="shared" si="57"/>
        <v>0.1830379746835443</v>
      </c>
      <c r="X33" s="99">
        <f t="shared" si="57"/>
        <v>0.1830379746835443</v>
      </c>
      <c r="Z33" s="439"/>
    </row>
    <row r="34" spans="1:26" x14ac:dyDescent="0.2">
      <c r="B34" s="1" t="s">
        <v>438</v>
      </c>
      <c r="C34" s="43" t="s">
        <v>22</v>
      </c>
      <c r="D34" s="261">
        <f>((D29*D10)+D14)/O11</f>
        <v>5.9650707294122514</v>
      </c>
    </row>
    <row r="35" spans="1:26" s="17" customFormat="1" x14ac:dyDescent="0.2">
      <c r="A35" s="10"/>
      <c r="D35" s="44"/>
      <c r="E35" s="44"/>
      <c r="F35" s="142" t="s">
        <v>416</v>
      </c>
      <c r="G35" s="255"/>
      <c r="H35" s="144"/>
      <c r="I35" s="142">
        <f>I$2</f>
        <v>2020</v>
      </c>
      <c r="J35" s="142">
        <f t="shared" ref="J35:X35" si="58">J$2</f>
        <v>2021</v>
      </c>
      <c r="K35" s="142">
        <f t="shared" si="58"/>
        <v>2022</v>
      </c>
      <c r="L35" s="142">
        <f t="shared" si="58"/>
        <v>2023</v>
      </c>
      <c r="M35" s="142">
        <f t="shared" si="58"/>
        <v>2024</v>
      </c>
      <c r="N35" s="142">
        <f t="shared" si="58"/>
        <v>2025</v>
      </c>
      <c r="O35" s="142">
        <f t="shared" si="58"/>
        <v>2026</v>
      </c>
      <c r="P35" s="142">
        <f t="shared" si="58"/>
        <v>2027</v>
      </c>
      <c r="Q35" s="142">
        <f t="shared" si="58"/>
        <v>2028</v>
      </c>
      <c r="R35" s="142">
        <f t="shared" si="58"/>
        <v>2029</v>
      </c>
      <c r="S35" s="142">
        <f t="shared" si="58"/>
        <v>2030</v>
      </c>
      <c r="T35" s="142">
        <f t="shared" si="58"/>
        <v>2031</v>
      </c>
      <c r="U35" s="142">
        <f t="shared" si="58"/>
        <v>2032</v>
      </c>
      <c r="V35" s="142">
        <f t="shared" si="58"/>
        <v>2033</v>
      </c>
      <c r="W35" s="142">
        <f t="shared" si="58"/>
        <v>2034</v>
      </c>
      <c r="X35" s="142">
        <f t="shared" si="58"/>
        <v>2035</v>
      </c>
      <c r="Z35" s="438"/>
    </row>
    <row r="36" spans="1:26" s="98" customFormat="1" x14ac:dyDescent="0.2">
      <c r="A36" s="43"/>
      <c r="D36" s="43"/>
      <c r="E36" s="43"/>
      <c r="F36" s="3"/>
      <c r="G36" s="84"/>
      <c r="H36" s="43"/>
      <c r="I36" s="2"/>
      <c r="J36" s="2"/>
      <c r="K36" s="2"/>
      <c r="L36" s="2"/>
      <c r="M36" s="2"/>
      <c r="N36" s="2"/>
      <c r="O36" s="2"/>
      <c r="P36" s="2"/>
      <c r="Q36" s="2"/>
      <c r="R36" s="2"/>
      <c r="S36" s="2"/>
      <c r="T36" s="2"/>
      <c r="U36" s="2"/>
      <c r="V36" s="2"/>
      <c r="W36" s="2"/>
      <c r="X36" s="2"/>
      <c r="Z36" s="439"/>
    </row>
    <row r="37" spans="1:26" s="98" customFormat="1" x14ac:dyDescent="0.2">
      <c r="A37" s="43"/>
      <c r="D37" s="43"/>
      <c r="E37" s="43"/>
      <c r="F37" s="3"/>
      <c r="G37" s="187" t="s">
        <v>418</v>
      </c>
      <c r="H37" s="43"/>
      <c r="I37" s="15"/>
      <c r="J37" s="15"/>
      <c r="K37" s="15"/>
      <c r="L37" s="15"/>
      <c r="M37" s="414">
        <f t="shared" ref="M37:X37" si="59">IFERROR($D$15/M7,"")</f>
        <v>2.9286146655673906</v>
      </c>
      <c r="N37" s="414">
        <f t="shared" si="59"/>
        <v>2.6065815181441927</v>
      </c>
      <c r="O37" s="414">
        <f t="shared" si="59"/>
        <v>2.399298498489423</v>
      </c>
      <c r="P37" s="414">
        <f t="shared" si="59"/>
        <v>2.2271436735257097</v>
      </c>
      <c r="Q37" s="414">
        <f t="shared" si="59"/>
        <v>2.0850247637564321</v>
      </c>
      <c r="R37" s="414">
        <f t="shared" si="59"/>
        <v>1.9856616359572936</v>
      </c>
      <c r="S37" s="414">
        <f t="shared" si="59"/>
        <v>1.8913434527679174</v>
      </c>
      <c r="T37" s="414">
        <f t="shared" si="59"/>
        <v>1.8018099872411617</v>
      </c>
      <c r="U37" s="414">
        <f t="shared" si="59"/>
        <v>1.7168127991142001</v>
      </c>
      <c r="V37" s="414">
        <f t="shared" si="59"/>
        <v>1.6368152169936321</v>
      </c>
      <c r="W37" s="414">
        <f t="shared" si="59"/>
        <v>1.5614721288844842</v>
      </c>
      <c r="X37" s="414">
        <f t="shared" si="59"/>
        <v>1.4898526160043666</v>
      </c>
      <c r="Z37" s="439"/>
    </row>
    <row r="38" spans="1:26" s="98" customFormat="1" x14ac:dyDescent="0.2">
      <c r="A38" s="43"/>
      <c r="D38" s="43"/>
      <c r="E38" s="43"/>
      <c r="F38" s="3"/>
      <c r="G38" s="187" t="s">
        <v>419</v>
      </c>
      <c r="H38" s="43"/>
      <c r="I38" s="15"/>
      <c r="J38" s="15"/>
      <c r="K38" s="15"/>
      <c r="L38" s="15"/>
      <c r="M38" s="414">
        <f t="shared" ref="M38:X38" si="60">IFERROR($D$15/M11,"")</f>
        <v>5.2260133546726832</v>
      </c>
      <c r="N38" s="414">
        <f t="shared" si="60"/>
        <v>4.9144460028609513</v>
      </c>
      <c r="O38" s="414">
        <f t="shared" si="60"/>
        <v>4.6552910304379447</v>
      </c>
      <c r="P38" s="414">
        <f t="shared" si="60"/>
        <v>4.4508003217721219</v>
      </c>
      <c r="Q38" s="414">
        <f t="shared" si="60"/>
        <v>4.2517535178559953</v>
      </c>
      <c r="R38" s="414">
        <f t="shared" si="60"/>
        <v>4.0992888862438184</v>
      </c>
      <c r="S38" s="414">
        <f t="shared" si="60"/>
        <v>3.9370857866578697</v>
      </c>
      <c r="T38" s="414">
        <f t="shared" si="60"/>
        <v>3.75070983572218</v>
      </c>
      <c r="U38" s="414">
        <f t="shared" si="60"/>
        <v>3.57377675633313</v>
      </c>
      <c r="V38" s="414">
        <f t="shared" si="60"/>
        <v>3.4072510293040419</v>
      </c>
      <c r="W38" s="414">
        <f t="shared" si="60"/>
        <v>3.2504142575990786</v>
      </c>
      <c r="X38" s="414">
        <f t="shared" si="60"/>
        <v>3.101328608562139</v>
      </c>
      <c r="Z38" s="439"/>
    </row>
    <row r="39" spans="1:26" s="98" customFormat="1" x14ac:dyDescent="0.2">
      <c r="A39" s="43"/>
      <c r="D39" s="43"/>
      <c r="E39" s="43"/>
      <c r="F39" s="3"/>
      <c r="G39" s="187" t="s">
        <v>420</v>
      </c>
      <c r="H39" s="43"/>
      <c r="I39" s="15"/>
      <c r="J39" s="15"/>
      <c r="K39" s="15"/>
      <c r="L39" s="15"/>
      <c r="M39" s="414">
        <f t="shared" ref="M39:X39" si="61">IFERROR($D$9/M22,"")</f>
        <v>10.093645565017669</v>
      </c>
      <c r="N39" s="414">
        <f t="shared" si="61"/>
        <v>10.137969525018894</v>
      </c>
      <c r="O39" s="414">
        <f t="shared" si="61"/>
        <v>8.8016120540247389</v>
      </c>
      <c r="P39" s="414">
        <f t="shared" si="61"/>
        <v>8.38624647320664</v>
      </c>
      <c r="Q39" s="414">
        <f t="shared" si="61"/>
        <v>7.8660037595613952</v>
      </c>
      <c r="R39" s="414">
        <f t="shared" si="61"/>
        <v>7.3780024122121741</v>
      </c>
      <c r="S39" s="414">
        <f t="shared" si="61"/>
        <v>7.0439026902020601</v>
      </c>
      <c r="T39" s="414">
        <f t="shared" si="61"/>
        <v>6.4435139975420999</v>
      </c>
      <c r="U39" s="414">
        <f t="shared" si="61"/>
        <v>5.8726976502741781</v>
      </c>
      <c r="V39" s="414">
        <f t="shared" si="61"/>
        <v>5.3342897847062174</v>
      </c>
      <c r="W39" s="414">
        <f t="shared" si="61"/>
        <v>4.942437598140887</v>
      </c>
      <c r="X39" s="414">
        <f t="shared" si="61"/>
        <v>4.4896975609693817</v>
      </c>
      <c r="Z39" s="439"/>
    </row>
    <row r="40" spans="1:26" s="98" customFormat="1" x14ac:dyDescent="0.2">
      <c r="A40" s="43"/>
      <c r="D40" s="43"/>
      <c r="E40" s="43"/>
      <c r="G40" s="187" t="s">
        <v>421</v>
      </c>
      <c r="H40" s="43"/>
      <c r="I40" s="15"/>
      <c r="J40" s="15"/>
      <c r="K40" s="15"/>
      <c r="L40" s="256"/>
      <c r="M40" s="256">
        <f t="shared" ref="M40:X40" si="62">IFERROR(M29/$D$9,"")</f>
        <v>5.0761391200601455E-2</v>
      </c>
      <c r="N40" s="256">
        <f t="shared" si="62"/>
        <v>5.8547308436957587E-2</v>
      </c>
      <c r="O40" s="256">
        <f t="shared" si="62"/>
        <v>6.7799810319065526E-2</v>
      </c>
      <c r="P40" s="256">
        <f t="shared" si="62"/>
        <v>7.4556254344915807E-2</v>
      </c>
      <c r="Q40" s="256">
        <f t="shared" si="62"/>
        <v>8.2682269312740406E-2</v>
      </c>
      <c r="R40" s="256">
        <f t="shared" si="62"/>
        <v>9.1218352662501556E-2</v>
      </c>
      <c r="S40" s="256">
        <f t="shared" si="62"/>
        <v>0.10426391721546054</v>
      </c>
      <c r="T40" s="256">
        <f t="shared" si="62"/>
        <v>0.11876872893358403</v>
      </c>
      <c r="U40" s="256">
        <f t="shared" si="62"/>
        <v>0.13611291604516976</v>
      </c>
      <c r="V40" s="256">
        <f t="shared" si="62"/>
        <v>0.15529714440107717</v>
      </c>
      <c r="W40" s="256">
        <f t="shared" si="62"/>
        <v>0.17367773364135075</v>
      </c>
      <c r="X40" s="256">
        <f t="shared" si="62"/>
        <v>0.19290902879466051</v>
      </c>
      <c r="Z40" s="439"/>
    </row>
    <row r="41" spans="1:26" x14ac:dyDescent="0.2">
      <c r="F41" s="15"/>
      <c r="G41" s="419" t="s">
        <v>818</v>
      </c>
      <c r="H41" s="15"/>
      <c r="M41" s="256">
        <f>IFERROR(Model!I667/Summary!$D$9,"")</f>
        <v>0</v>
      </c>
      <c r="N41" s="256">
        <f>IFERROR(Model!J667/Summary!$D$9,"")</f>
        <v>0</v>
      </c>
      <c r="O41" s="256">
        <f>IFERROR(Model!K667/Summary!$D$9,"")</f>
        <v>0</v>
      </c>
      <c r="P41" s="256">
        <f>IFERROR(Model!L667/Summary!$D$9,"")</f>
        <v>0</v>
      </c>
      <c r="Q41" s="256">
        <f>IFERROR(Model!M667/Summary!$D$9,"")</f>
        <v>0</v>
      </c>
      <c r="R41" s="256">
        <f>IFERROR(Model!N667/Summary!$D$9,"")</f>
        <v>0</v>
      </c>
      <c r="S41" s="256">
        <f>IFERROR(Model!O667/Summary!$D$9,"")</f>
        <v>0</v>
      </c>
      <c r="T41" s="256">
        <f>IFERROR(Model!P667/Summary!$D$9,"")</f>
        <v>0</v>
      </c>
      <c r="U41" s="256">
        <f>IFERROR(Model!Q667/Summary!$D$9,"")</f>
        <v>0</v>
      </c>
      <c r="V41" s="256">
        <f>IFERROR(Model!R667/Summary!$D$9,"")</f>
        <v>0</v>
      </c>
      <c r="W41" s="256">
        <f>IFERROR(Model!S667/Summary!$D$9,"")</f>
        <v>0</v>
      </c>
      <c r="X41" s="256">
        <f>IFERROR(Model!T667/Summary!$D$9,"")</f>
        <v>0</v>
      </c>
    </row>
    <row r="42" spans="1:26" x14ac:dyDescent="0.2">
      <c r="D42" s="44"/>
      <c r="E42" s="44"/>
      <c r="F42" s="15"/>
      <c r="G42" s="419" t="s">
        <v>819</v>
      </c>
      <c r="H42" s="15"/>
      <c r="M42" s="256">
        <f>IFERROR(-Model!I510/Summary!$D$11,"")</f>
        <v>0</v>
      </c>
      <c r="N42" s="256">
        <f>IFERROR(-Model!J510/Summary!$D$11,"")</f>
        <v>0</v>
      </c>
      <c r="O42" s="256">
        <f>IFERROR(-Model!K510/Summary!$D$11,"")</f>
        <v>0</v>
      </c>
      <c r="P42" s="256">
        <f>IFERROR(-Model!L510/Summary!$D$11,"")</f>
        <v>0</v>
      </c>
      <c r="Q42" s="256">
        <f>IFERROR(-Model!M510/Summary!$D$11,"")</f>
        <v>0</v>
      </c>
      <c r="R42" s="256">
        <f>IFERROR(-Model!N510/Summary!$D$11,"")</f>
        <v>0</v>
      </c>
      <c r="S42" s="256">
        <f>IFERROR(-Model!O510/Summary!$D$11,"")</f>
        <v>0</v>
      </c>
      <c r="T42" s="256">
        <f>IFERROR(-Model!P510/Summary!$D$11,"")</f>
        <v>0</v>
      </c>
      <c r="U42" s="256">
        <f>IFERROR(-Model!Q510/Summary!$D$11,"")</f>
        <v>0</v>
      </c>
      <c r="V42" s="256">
        <f>IFERROR(-Model!R510/Summary!$D$11,"")</f>
        <v>0</v>
      </c>
      <c r="W42" s="256">
        <f>IFERROR(-Model!S510/Summary!$D$11,"")</f>
        <v>0</v>
      </c>
      <c r="X42" s="256">
        <f>IFERROR(-Model!T510/Summary!$D$11,"")</f>
        <v>0</v>
      </c>
    </row>
    <row r="43" spans="1:26" x14ac:dyDescent="0.2">
      <c r="D43" s="44"/>
      <c r="E43" s="44"/>
      <c r="F43" s="15"/>
      <c r="G43" s="187" t="s">
        <v>795</v>
      </c>
      <c r="M43" s="420">
        <f>Model!J525</f>
        <v>0</v>
      </c>
      <c r="N43" s="420">
        <f>Model!K525</f>
        <v>0</v>
      </c>
      <c r="O43" s="420">
        <f>Model!L525</f>
        <v>0</v>
      </c>
      <c r="P43" s="420">
        <f>Model!M525</f>
        <v>0</v>
      </c>
      <c r="Q43" s="420">
        <f>Model!N525</f>
        <v>0</v>
      </c>
      <c r="R43" s="420">
        <f>Model!O525</f>
        <v>0</v>
      </c>
      <c r="S43" s="420">
        <f>Model!P525</f>
        <v>0</v>
      </c>
      <c r="T43" s="420">
        <f>Model!Q525</f>
        <v>0</v>
      </c>
      <c r="U43" s="420">
        <f>Model!R525</f>
        <v>0</v>
      </c>
      <c r="V43" s="420">
        <f>Model!S525</f>
        <v>0</v>
      </c>
      <c r="W43" s="420">
        <f>Model!T525</f>
        <v>0</v>
      </c>
      <c r="X43" s="420">
        <f>Model!U525</f>
        <v>0</v>
      </c>
    </row>
    <row r="44" spans="1:26" x14ac:dyDescent="0.2">
      <c r="F44" s="15"/>
      <c r="G44" s="419"/>
      <c r="H44" s="15"/>
    </row>
    <row r="45" spans="1:26" x14ac:dyDescent="0.2">
      <c r="F45" s="142" t="s">
        <v>793</v>
      </c>
      <c r="G45" s="255"/>
      <c r="H45" s="144"/>
      <c r="I45" s="142">
        <f>I$2</f>
        <v>2020</v>
      </c>
      <c r="J45" s="142">
        <f t="shared" ref="J45:X45" si="63">J$2</f>
        <v>2021</v>
      </c>
      <c r="K45" s="142">
        <f t="shared" si="63"/>
        <v>2022</v>
      </c>
      <c r="L45" s="142">
        <f t="shared" si="63"/>
        <v>2023</v>
      </c>
      <c r="M45" s="142">
        <f t="shared" si="63"/>
        <v>2024</v>
      </c>
      <c r="N45" s="142">
        <f t="shared" si="63"/>
        <v>2025</v>
      </c>
      <c r="O45" s="142">
        <f t="shared" si="63"/>
        <v>2026</v>
      </c>
      <c r="P45" s="142">
        <f t="shared" si="63"/>
        <v>2027</v>
      </c>
      <c r="Q45" s="142">
        <f t="shared" si="63"/>
        <v>2028</v>
      </c>
      <c r="R45" s="142">
        <f t="shared" si="63"/>
        <v>2029</v>
      </c>
      <c r="S45" s="142">
        <f t="shared" si="63"/>
        <v>2030</v>
      </c>
      <c r="T45" s="142">
        <f t="shared" si="63"/>
        <v>2031</v>
      </c>
      <c r="U45" s="142">
        <f t="shared" si="63"/>
        <v>2032</v>
      </c>
      <c r="V45" s="142">
        <f t="shared" si="63"/>
        <v>2033</v>
      </c>
      <c r="W45" s="142">
        <f t="shared" si="63"/>
        <v>2034</v>
      </c>
      <c r="X45" s="142">
        <f t="shared" si="63"/>
        <v>2035</v>
      </c>
    </row>
    <row r="46" spans="1:26" x14ac:dyDescent="0.2">
      <c r="F46" s="15"/>
      <c r="G46" s="419"/>
      <c r="H46" s="15"/>
    </row>
    <row r="47" spans="1:26" x14ac:dyDescent="0.2">
      <c r="F47" s="15"/>
      <c r="G47" s="187" t="s">
        <v>794</v>
      </c>
      <c r="M47" s="414">
        <f>IFERROR(Model!I796/Model!I639,"")</f>
        <v>0.42718446601941745</v>
      </c>
      <c r="N47" s="414">
        <f>IFERROR(Model!J796/Model!J639,"")</f>
        <v>-0.59525117221269574</v>
      </c>
      <c r="O47" s="414">
        <f>IFERROR(Model!K796/Model!K639,"")</f>
        <v>-0.92748418775127572</v>
      </c>
      <c r="P47" s="414">
        <f>IFERROR(Model!L796/Model!L639,"")</f>
        <v>-1.2732917822121026</v>
      </c>
      <c r="Q47" s="414">
        <f>IFERROR(Model!M796/Model!M639,"")</f>
        <v>-1.6330996483514679</v>
      </c>
      <c r="R47" s="414">
        <f>IFERROR(Model!N796/Model!N639,"")</f>
        <v>-2.0259945741617047</v>
      </c>
      <c r="S47" s="414">
        <f>IFERROR(Model!O796/Model!O639,"")</f>
        <v>-2.4451630423163873</v>
      </c>
      <c r="T47" s="414">
        <f>IFERROR(Model!P796/Model!P639,"")</f>
        <v>-2.8745691705873604</v>
      </c>
      <c r="U47" s="414">
        <f>IFERROR(Model!Q796/Model!Q639,"")</f>
        <v>-3.3366719223809467</v>
      </c>
      <c r="V47" s="414">
        <f>IFERROR(Model!R796/Model!R639,"")</f>
        <v>-3.8334589659833425</v>
      </c>
      <c r="W47" s="414">
        <f>IFERROR(Model!S796/Model!S639,"")</f>
        <v>-4.3490415272404945</v>
      </c>
      <c r="X47" s="414">
        <f>IFERROR(Model!T796/Model!T639,"")</f>
        <v>-4.8794694292343177</v>
      </c>
    </row>
    <row r="48" spans="1:26" x14ac:dyDescent="0.2">
      <c r="G48" s="187" t="s">
        <v>430</v>
      </c>
      <c r="M48" s="420">
        <f>Model!I744</f>
        <v>0.20494846841670558</v>
      </c>
      <c r="N48" s="420">
        <f>Model!J744</f>
        <v>0.21937381469863634</v>
      </c>
      <c r="O48" s="420">
        <f>Model!K744</f>
        <v>0.21743878732117233</v>
      </c>
      <c r="P48" s="420">
        <f>Model!L744</f>
        <v>0.19660699895799619</v>
      </c>
      <c r="Q48" s="420">
        <f>Model!M744</f>
        <v>0.18322991528683283</v>
      </c>
      <c r="R48" s="420">
        <f>Model!N744</f>
        <v>0.17241572277099798</v>
      </c>
      <c r="S48" s="420">
        <f>Model!O744</f>
        <v>0.16620767180407928</v>
      </c>
      <c r="T48" s="420">
        <f>Model!P744</f>
        <v>0.16526891766515894</v>
      </c>
      <c r="U48" s="420">
        <f>Model!Q744</f>
        <v>0.16622822788800479</v>
      </c>
      <c r="V48" s="420">
        <f>Model!R744</f>
        <v>0.16905569678673416</v>
      </c>
      <c r="W48" s="420">
        <f>Model!S744</f>
        <v>0.16700663776136382</v>
      </c>
      <c r="X48" s="420">
        <f>Model!T744</f>
        <v>0.17121494411750418</v>
      </c>
    </row>
    <row r="49" spans="1:24" x14ac:dyDescent="0.2">
      <c r="G49" s="187" t="s">
        <v>800</v>
      </c>
      <c r="M49" s="420">
        <f>Model!I745</f>
        <v>0.24000472411173071</v>
      </c>
      <c r="N49" s="420">
        <f>Model!J745</f>
        <v>0.23149399356031142</v>
      </c>
      <c r="O49" s="420">
        <f>Model!K745</f>
        <v>0.2241230973104644</v>
      </c>
      <c r="P49" s="420">
        <f>Model!L745</f>
        <v>0.20920928290108895</v>
      </c>
      <c r="Q49" s="420">
        <f>Model!M745</f>
        <v>0.19440372155098026</v>
      </c>
      <c r="R49" s="420">
        <f>Model!N745</f>
        <v>0.18874742172384282</v>
      </c>
      <c r="S49" s="420">
        <f>Model!O745</f>
        <v>0.1868790928424717</v>
      </c>
      <c r="T49" s="420">
        <f>Model!P745</f>
        <v>0.19012327801196666</v>
      </c>
      <c r="U49" s="420">
        <f>Model!Q745</f>
        <v>0.19558747293896259</v>
      </c>
      <c r="V49" s="420">
        <f>Model!R745</f>
        <v>0.20266464923419047</v>
      </c>
      <c r="W49" s="420">
        <f>Model!S745</f>
        <v>0.20144744340367876</v>
      </c>
      <c r="X49" s="420">
        <f>Model!T745</f>
        <v>0.20596240073192296</v>
      </c>
    </row>
    <row r="52" spans="1:24" x14ac:dyDescent="0.2">
      <c r="A52" s="9" t="s">
        <v>22</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Drop Down 1">
              <controlPr defaultSize="0" autoLine="0" autoPict="0">
                <anchor moveWithCells="1">
                  <from>
                    <xdr:col>2</xdr:col>
                    <xdr:colOff>752475</xdr:colOff>
                    <xdr:row>4</xdr:row>
                    <xdr:rowOff>114300</xdr:rowOff>
                  </from>
                  <to>
                    <xdr:col>4</xdr:col>
                    <xdr:colOff>28575</xdr:colOff>
                    <xdr:row>5</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3985-7F37-42A7-B47F-F000531366F2}">
  <sheetPr>
    <tabColor theme="0"/>
    <outlinePr showOutlineSymbols="0"/>
  </sheetPr>
  <dimension ref="A1:Z831"/>
  <sheetViews>
    <sheetView showOutlineSymbols="0" zoomScale="85" zoomScaleNormal="85" workbookViewId="0">
      <pane xSplit="4" ySplit="6" topLeftCell="E615" activePane="bottomRight" state="frozen"/>
      <selection activeCell="G66" sqref="G66"/>
      <selection pane="topRight" activeCell="G66" sqref="G66"/>
      <selection pane="bottomLeft" activeCell="G66" sqref="G66"/>
      <selection pane="bottomRight" activeCell="K632" sqref="K632"/>
    </sheetView>
  </sheetViews>
  <sheetFormatPr defaultColWidth="8.85546875" defaultRowHeight="12.75" outlineLevelRow="5" x14ac:dyDescent="0.2"/>
  <cols>
    <col min="1" max="2" width="2.42578125" style="1" customWidth="1"/>
    <col min="3" max="3" width="34.7109375" style="1" customWidth="1"/>
    <col min="4" max="4" width="18.42578125" style="43" customWidth="1"/>
    <col min="5" max="7" width="9.7109375" style="21" bestFit="1" customWidth="1"/>
    <col min="8" max="8" width="8.85546875" style="21" customWidth="1"/>
    <col min="9" max="9" width="9.85546875" style="21" customWidth="1"/>
    <col min="10" max="10" width="8.85546875" style="21" customWidth="1"/>
    <col min="11" max="20" width="8.85546875" style="21"/>
    <col min="21" max="21" width="8.85546875" style="1"/>
    <col min="22" max="22" width="19.140625" style="1" bestFit="1" customWidth="1"/>
    <col min="23" max="24" width="17.42578125" style="1" bestFit="1" customWidth="1"/>
    <col min="25" max="25" width="15.85546875" style="1" bestFit="1" customWidth="1"/>
    <col min="26" max="16384" width="8.85546875" style="1"/>
  </cols>
  <sheetData>
    <row r="1" spans="1:25" x14ac:dyDescent="0.2">
      <c r="E1" s="1"/>
      <c r="F1" s="1"/>
      <c r="G1" s="1"/>
      <c r="H1" s="1"/>
      <c r="I1" s="1"/>
      <c r="J1" s="21">
        <f>J724</f>
        <v>0</v>
      </c>
      <c r="K1" s="21">
        <f t="shared" ref="K1:O1" si="0">K724</f>
        <v>0</v>
      </c>
      <c r="L1" s="21">
        <f t="shared" si="0"/>
        <v>0</v>
      </c>
      <c r="M1" s="21">
        <f t="shared" si="0"/>
        <v>0</v>
      </c>
      <c r="N1" s="21">
        <f t="shared" si="0"/>
        <v>0</v>
      </c>
      <c r="O1" s="21">
        <f t="shared" si="0"/>
        <v>0</v>
      </c>
      <c r="P1" s="21">
        <f t="shared" ref="P1:T1" si="1">P724</f>
        <v>0</v>
      </c>
      <c r="Q1" s="21">
        <f t="shared" si="1"/>
        <v>0</v>
      </c>
      <c r="R1" s="21">
        <f t="shared" si="1"/>
        <v>0</v>
      </c>
      <c r="S1" s="21">
        <f t="shared" si="1"/>
        <v>0</v>
      </c>
      <c r="T1" s="21">
        <f t="shared" si="1"/>
        <v>0</v>
      </c>
      <c r="W1" s="155"/>
      <c r="X1" s="155"/>
      <c r="Y1" s="155">
        <f t="shared" ref="Y1" si="2">M1-L1</f>
        <v>0</v>
      </c>
    </row>
    <row r="2" spans="1:25" x14ac:dyDescent="0.2">
      <c r="B2" s="34"/>
      <c r="C2" s="34"/>
      <c r="D2" s="46"/>
      <c r="E2" s="34">
        <v>2020</v>
      </c>
      <c r="F2" s="34">
        <f>E2+1</f>
        <v>2021</v>
      </c>
      <c r="G2" s="34">
        <f t="shared" ref="G2:H2" si="3">F2+1</f>
        <v>2022</v>
      </c>
      <c r="H2" s="34">
        <f t="shared" si="3"/>
        <v>2023</v>
      </c>
      <c r="I2" s="34">
        <f>H2+1</f>
        <v>2024</v>
      </c>
      <c r="J2" s="56">
        <f t="shared" ref="J2:N2" si="4">I2+1</f>
        <v>2025</v>
      </c>
      <c r="K2" s="56">
        <f t="shared" si="4"/>
        <v>2026</v>
      </c>
      <c r="L2" s="56">
        <f t="shared" si="4"/>
        <v>2027</v>
      </c>
      <c r="M2" s="56">
        <f t="shared" si="4"/>
        <v>2028</v>
      </c>
      <c r="N2" s="56">
        <f t="shared" si="4"/>
        <v>2029</v>
      </c>
      <c r="O2" s="56">
        <f t="shared" ref="O2" si="5">N2+1</f>
        <v>2030</v>
      </c>
      <c r="P2" s="56">
        <f t="shared" ref="P2" si="6">O2+1</f>
        <v>2031</v>
      </c>
      <c r="Q2" s="56">
        <f t="shared" ref="Q2" si="7">P2+1</f>
        <v>2032</v>
      </c>
      <c r="R2" s="56">
        <f t="shared" ref="R2" si="8">Q2+1</f>
        <v>2033</v>
      </c>
      <c r="S2" s="56">
        <f t="shared" ref="S2" si="9">R2+1</f>
        <v>2034</v>
      </c>
      <c r="T2" s="56">
        <f t="shared" ref="T2" si="10">S2+1</f>
        <v>2035</v>
      </c>
      <c r="V2" s="2" t="s">
        <v>151</v>
      </c>
    </row>
    <row r="3" spans="1:25" x14ac:dyDescent="0.2">
      <c r="B3" s="34" t="s">
        <v>108</v>
      </c>
      <c r="C3" s="34"/>
      <c r="D3" s="46"/>
      <c r="E3" s="33">
        <v>44196</v>
      </c>
      <c r="F3" s="33">
        <f>EOMONTH(E3,12)</f>
        <v>44561</v>
      </c>
      <c r="G3" s="33">
        <f t="shared" ref="G3:H3" si="11">EOMONTH(F3,12)</f>
        <v>44926</v>
      </c>
      <c r="H3" s="33">
        <f t="shared" si="11"/>
        <v>45291</v>
      </c>
      <c r="I3" s="33">
        <f>EOMONTH(H3,12)</f>
        <v>45657</v>
      </c>
      <c r="J3" s="57">
        <f t="shared" ref="J3:N3" si="12">EOMONTH(I3,12)</f>
        <v>46022</v>
      </c>
      <c r="K3" s="57">
        <f t="shared" si="12"/>
        <v>46387</v>
      </c>
      <c r="L3" s="57">
        <f t="shared" si="12"/>
        <v>46752</v>
      </c>
      <c r="M3" s="57">
        <f t="shared" si="12"/>
        <v>47118</v>
      </c>
      <c r="N3" s="57">
        <f t="shared" si="12"/>
        <v>47483</v>
      </c>
      <c r="O3" s="57">
        <f t="shared" ref="O3" si="13">EOMONTH(N3,12)</f>
        <v>47848</v>
      </c>
      <c r="P3" s="57">
        <f t="shared" ref="P3" si="14">EOMONTH(O3,12)</f>
        <v>48213</v>
      </c>
      <c r="Q3" s="57">
        <f t="shared" ref="Q3" si="15">EOMONTH(P3,12)</f>
        <v>48579</v>
      </c>
      <c r="R3" s="57">
        <f t="shared" ref="R3" si="16">EOMONTH(Q3,12)</f>
        <v>48944</v>
      </c>
      <c r="S3" s="57">
        <f t="shared" ref="S3" si="17">EOMONTH(R3,12)</f>
        <v>49309</v>
      </c>
      <c r="T3" s="57">
        <f t="shared" ref="T3" si="18">EOMONTH(S3,12)</f>
        <v>49674</v>
      </c>
    </row>
    <row r="4" spans="1:25" ht="13.5" thickBot="1" x14ac:dyDescent="0.25">
      <c r="B4" s="184"/>
      <c r="C4" s="184"/>
      <c r="D4" s="185"/>
      <c r="E4" s="186"/>
      <c r="F4" s="186"/>
      <c r="G4" s="186"/>
      <c r="H4" s="186"/>
      <c r="I4" s="558"/>
      <c r="J4" s="556"/>
      <c r="K4" s="556"/>
      <c r="L4" s="556"/>
      <c r="M4" s="556"/>
      <c r="N4" s="556"/>
      <c r="O4" s="556"/>
      <c r="P4" s="556"/>
      <c r="Q4" s="556"/>
      <c r="R4" s="186"/>
      <c r="S4" s="186"/>
      <c r="T4" s="186"/>
    </row>
    <row r="5" spans="1:25" ht="13.5" thickBot="1" x14ac:dyDescent="0.25">
      <c r="B5" s="2" t="s">
        <v>306</v>
      </c>
      <c r="D5" s="183">
        <v>1</v>
      </c>
      <c r="E5" s="1"/>
      <c r="F5" s="1"/>
      <c r="G5" s="1"/>
      <c r="H5" s="1"/>
      <c r="I5" s="213"/>
      <c r="J5" s="556"/>
      <c r="K5" s="556"/>
      <c r="L5" s="556"/>
      <c r="M5" s="556"/>
      <c r="N5" s="556"/>
      <c r="O5" s="556"/>
      <c r="P5" s="556"/>
      <c r="Q5" s="556"/>
      <c r="R5" s="1"/>
      <c r="S5" s="1"/>
      <c r="T5" s="1"/>
    </row>
    <row r="6" spans="1:25" x14ac:dyDescent="0.2">
      <c r="B6" s="2"/>
      <c r="D6" s="9"/>
      <c r="E6" s="1"/>
      <c r="F6" s="1"/>
      <c r="G6" s="1"/>
      <c r="H6" s="1"/>
      <c r="I6" s="213"/>
      <c r="J6" s="557"/>
      <c r="K6" s="557"/>
      <c r="L6" s="557"/>
      <c r="M6" s="557"/>
      <c r="N6" s="557"/>
      <c r="O6" s="557"/>
      <c r="P6" s="557"/>
      <c r="Q6" s="557"/>
      <c r="R6" s="1"/>
      <c r="S6" s="1"/>
      <c r="T6" s="1"/>
    </row>
    <row r="7" spans="1:25" x14ac:dyDescent="0.2">
      <c r="A7" s="1" t="s">
        <v>22</v>
      </c>
      <c r="B7" s="34" t="s">
        <v>127</v>
      </c>
      <c r="C7" s="78"/>
      <c r="D7" s="79"/>
      <c r="E7" s="78"/>
      <c r="F7" s="78"/>
      <c r="G7" s="78"/>
      <c r="H7" s="78"/>
      <c r="I7" s="78"/>
      <c r="J7" s="78"/>
      <c r="K7" s="78"/>
      <c r="L7" s="78"/>
      <c r="M7" s="78"/>
      <c r="N7" s="78"/>
      <c r="O7" s="78"/>
      <c r="P7" s="78"/>
      <c r="Q7" s="78"/>
      <c r="R7" s="78"/>
      <c r="S7" s="78"/>
      <c r="T7" s="78"/>
    </row>
    <row r="8" spans="1:25" outlineLevel="3" x14ac:dyDescent="0.2">
      <c r="E8" s="1"/>
      <c r="F8" s="1"/>
      <c r="G8" s="1"/>
      <c r="H8" s="1"/>
      <c r="I8" s="1"/>
      <c r="J8" s="1"/>
      <c r="K8" s="1"/>
      <c r="L8" s="1"/>
      <c r="M8" s="1"/>
      <c r="N8" s="1"/>
      <c r="O8" s="1"/>
      <c r="P8" s="1"/>
      <c r="Q8" s="1"/>
      <c r="R8" s="1"/>
      <c r="S8" s="1"/>
      <c r="T8" s="1"/>
    </row>
    <row r="9" spans="1:25" outlineLevel="3" x14ac:dyDescent="0.2">
      <c r="A9" s="1" t="s">
        <v>22</v>
      </c>
      <c r="B9" s="75" t="s">
        <v>307</v>
      </c>
      <c r="C9" s="76"/>
      <c r="D9" s="77"/>
      <c r="E9" s="76"/>
      <c r="F9" s="76"/>
      <c r="G9" s="76"/>
      <c r="H9" s="76"/>
      <c r="I9" s="76"/>
      <c r="J9" s="76"/>
      <c r="K9" s="76"/>
      <c r="L9" s="76"/>
      <c r="M9" s="76"/>
      <c r="N9" s="76"/>
      <c r="O9" s="76"/>
      <c r="P9" s="76"/>
      <c r="Q9" s="76"/>
      <c r="R9" s="76"/>
      <c r="S9" s="76"/>
      <c r="T9" s="76"/>
    </row>
    <row r="10" spans="1:25" outlineLevel="4" x14ac:dyDescent="0.2">
      <c r="E10" s="1"/>
      <c r="F10" s="1"/>
      <c r="G10" s="1"/>
      <c r="H10" s="1"/>
      <c r="I10" s="1"/>
      <c r="J10" s="1"/>
      <c r="K10" s="1"/>
      <c r="L10" s="1"/>
      <c r="M10" s="1"/>
      <c r="N10" s="1"/>
      <c r="O10" s="1"/>
      <c r="P10" s="1"/>
      <c r="Q10" s="1"/>
      <c r="R10" s="1"/>
      <c r="S10" s="1"/>
      <c r="T10" s="1"/>
    </row>
    <row r="11" spans="1:25" outlineLevel="4" x14ac:dyDescent="0.2">
      <c r="B11" s="2" t="s">
        <v>308</v>
      </c>
      <c r="E11" s="1"/>
      <c r="F11" s="1"/>
      <c r="G11" s="1"/>
      <c r="H11" s="1"/>
      <c r="I11" s="1"/>
      <c r="J11" s="1"/>
      <c r="K11" s="1"/>
      <c r="L11" s="1"/>
      <c r="M11" s="1"/>
      <c r="N11" s="1"/>
      <c r="O11" s="1"/>
      <c r="P11" s="1"/>
      <c r="Q11" s="1"/>
      <c r="R11" s="1"/>
      <c r="S11" s="1"/>
      <c r="T11" s="1"/>
    </row>
    <row r="12" spans="1:25" outlineLevel="4" x14ac:dyDescent="0.2">
      <c r="B12" s="2"/>
      <c r="C12" s="1" t="s">
        <v>437</v>
      </c>
      <c r="E12" s="1"/>
      <c r="F12" s="1"/>
      <c r="G12" s="1"/>
      <c r="H12" s="1"/>
      <c r="I12" s="1"/>
      <c r="J12" s="52">
        <f t="shared" ref="J12:T13" si="19">CHOOSE($D$5,J20,J28)</f>
        <v>-8.0000000000000002E-3</v>
      </c>
      <c r="K12" s="52">
        <f t="shared" si="19"/>
        <v>-8.0000000000000002E-3</v>
      </c>
      <c r="L12" s="52">
        <f t="shared" si="19"/>
        <v>-8.0000000000000002E-3</v>
      </c>
      <c r="M12" s="52">
        <f t="shared" si="19"/>
        <v>-8.0000000000000002E-3</v>
      </c>
      <c r="N12" s="52">
        <f t="shared" si="19"/>
        <v>-8.0000000000000002E-3</v>
      </c>
      <c r="O12" s="52">
        <f t="shared" si="19"/>
        <v>-8.0000000000000002E-3</v>
      </c>
      <c r="P12" s="52">
        <f t="shared" si="19"/>
        <v>-8.0000000000000002E-3</v>
      </c>
      <c r="Q12" s="52">
        <f t="shared" si="19"/>
        <v>-8.0000000000000002E-3</v>
      </c>
      <c r="R12" s="52">
        <f t="shared" si="19"/>
        <v>-8.0000000000000002E-3</v>
      </c>
      <c r="S12" s="52">
        <f t="shared" si="19"/>
        <v>-8.0000000000000002E-3</v>
      </c>
      <c r="T12" s="52">
        <f t="shared" si="19"/>
        <v>-8.0000000000000002E-3</v>
      </c>
    </row>
    <row r="13" spans="1:25" outlineLevel="4" x14ac:dyDescent="0.2">
      <c r="B13" s="2"/>
      <c r="C13" s="1" t="s">
        <v>436</v>
      </c>
      <c r="E13" s="1"/>
      <c r="F13" s="1"/>
      <c r="G13" s="1"/>
      <c r="H13" s="1"/>
      <c r="I13" s="1"/>
      <c r="J13" s="52">
        <f t="shared" si="19"/>
        <v>0.2</v>
      </c>
      <c r="K13" s="52">
        <f t="shared" si="19"/>
        <v>0.12</v>
      </c>
      <c r="L13" s="52">
        <f t="shared" si="19"/>
        <v>0.09</v>
      </c>
      <c r="M13" s="52">
        <f t="shared" si="19"/>
        <v>0.09</v>
      </c>
      <c r="N13" s="52">
        <f t="shared" si="19"/>
        <v>0.09</v>
      </c>
      <c r="O13" s="52">
        <f t="shared" si="19"/>
        <v>0.09</v>
      </c>
      <c r="P13" s="52">
        <f t="shared" si="19"/>
        <v>0.09</v>
      </c>
      <c r="Q13" s="52">
        <f t="shared" si="19"/>
        <v>0.09</v>
      </c>
      <c r="R13" s="52">
        <f t="shared" si="19"/>
        <v>0.09</v>
      </c>
      <c r="S13" s="52">
        <f t="shared" si="19"/>
        <v>0.09</v>
      </c>
      <c r="T13" s="52">
        <f t="shared" si="19"/>
        <v>0.09</v>
      </c>
    </row>
    <row r="14" spans="1:25" outlineLevel="4" x14ac:dyDescent="0.2">
      <c r="B14" s="2"/>
      <c r="C14" s="1" t="s">
        <v>310</v>
      </c>
      <c r="E14" s="1"/>
      <c r="F14" s="1"/>
      <c r="G14" s="1"/>
      <c r="H14" s="1"/>
      <c r="I14" s="1"/>
      <c r="J14" s="52">
        <f t="shared" ref="J14:T14" si="20">CHOOSE($D$5,J22,J30)</f>
        <v>1.088139281828074E-3</v>
      </c>
      <c r="K14" s="52">
        <f t="shared" si="20"/>
        <v>1.088139281828074E-3</v>
      </c>
      <c r="L14" s="52">
        <f t="shared" si="20"/>
        <v>1.088139281828074E-3</v>
      </c>
      <c r="M14" s="52">
        <f t="shared" si="20"/>
        <v>1.088139281828074E-3</v>
      </c>
      <c r="N14" s="52">
        <f t="shared" si="20"/>
        <v>1.088139281828074E-3</v>
      </c>
      <c r="O14" s="52">
        <f t="shared" si="20"/>
        <v>1.088139281828074E-3</v>
      </c>
      <c r="P14" s="52">
        <f t="shared" si="20"/>
        <v>1.088139281828074E-3</v>
      </c>
      <c r="Q14" s="52">
        <f t="shared" si="20"/>
        <v>1.088139281828074E-3</v>
      </c>
      <c r="R14" s="52">
        <f t="shared" si="20"/>
        <v>1.088139281828074E-3</v>
      </c>
      <c r="S14" s="52">
        <f t="shared" si="20"/>
        <v>1.088139281828074E-3</v>
      </c>
      <c r="T14" s="52">
        <f t="shared" si="20"/>
        <v>1.088139281828074E-3</v>
      </c>
    </row>
    <row r="15" spans="1:25" outlineLevel="4" x14ac:dyDescent="0.2">
      <c r="B15" s="2"/>
      <c r="C15" s="1" t="s">
        <v>311</v>
      </c>
      <c r="E15" s="1"/>
      <c r="F15" s="1"/>
      <c r="G15" s="1"/>
      <c r="H15" s="1"/>
      <c r="I15" s="1"/>
      <c r="J15" s="52">
        <f t="shared" ref="J15:T15" si="21">CHOOSE($D$5,J23,J31)</f>
        <v>-0.12881392818280701</v>
      </c>
      <c r="K15" s="52">
        <f t="shared" si="21"/>
        <v>-0.13631392818280702</v>
      </c>
      <c r="L15" s="52">
        <f t="shared" si="21"/>
        <v>-0.14381392818280703</v>
      </c>
      <c r="M15" s="52">
        <f t="shared" si="21"/>
        <v>-0.14881392818280703</v>
      </c>
      <c r="N15" s="52">
        <f t="shared" si="21"/>
        <v>-0.15181392818280703</v>
      </c>
      <c r="O15" s="52">
        <f t="shared" si="21"/>
        <v>-0.15381392818280704</v>
      </c>
      <c r="P15" s="52">
        <f t="shared" si="21"/>
        <v>-0.15381392818280704</v>
      </c>
      <c r="Q15" s="52">
        <f t="shared" si="21"/>
        <v>-0.15381392818280704</v>
      </c>
      <c r="R15" s="52">
        <f t="shared" si="21"/>
        <v>-0.15381392818280704</v>
      </c>
      <c r="S15" s="52">
        <f t="shared" si="21"/>
        <v>-0.15381392818280704</v>
      </c>
      <c r="T15" s="52">
        <f t="shared" si="21"/>
        <v>-0.15381392818280704</v>
      </c>
    </row>
    <row r="16" spans="1:25" outlineLevel="4" x14ac:dyDescent="0.2">
      <c r="B16" s="2"/>
      <c r="C16" s="1" t="s">
        <v>312</v>
      </c>
      <c r="E16" s="1"/>
      <c r="F16" s="1"/>
      <c r="G16" s="1"/>
      <c r="H16" s="1"/>
      <c r="I16" s="1"/>
      <c r="J16" s="52">
        <f t="shared" ref="J16:T16" si="22">CHOOSE($D$5,J24,J32)</f>
        <v>-0.34188248095756302</v>
      </c>
      <c r="K16" s="52">
        <f t="shared" si="22"/>
        <v>-0.34938248095756302</v>
      </c>
      <c r="L16" s="52">
        <f t="shared" si="22"/>
        <v>-0.35688248095756303</v>
      </c>
      <c r="M16" s="52">
        <f t="shared" si="22"/>
        <v>-0.36188248095756304</v>
      </c>
      <c r="N16" s="52">
        <f t="shared" si="22"/>
        <v>-0.36488248095756304</v>
      </c>
      <c r="O16" s="52">
        <f t="shared" si="22"/>
        <v>-0.36688248095756304</v>
      </c>
      <c r="P16" s="52">
        <f t="shared" si="22"/>
        <v>-0.36688248095756304</v>
      </c>
      <c r="Q16" s="52">
        <f t="shared" si="22"/>
        <v>-0.36688248095756304</v>
      </c>
      <c r="R16" s="52">
        <f t="shared" si="22"/>
        <v>-0.36688248095756304</v>
      </c>
      <c r="S16" s="52">
        <f t="shared" si="22"/>
        <v>-0.36688248095756304</v>
      </c>
      <c r="T16" s="52">
        <f t="shared" si="22"/>
        <v>-0.36688248095756304</v>
      </c>
    </row>
    <row r="17" spans="2:22" outlineLevel="4" x14ac:dyDescent="0.2">
      <c r="C17" s="1" t="s">
        <v>314</v>
      </c>
      <c r="E17" s="1"/>
      <c r="F17" s="1"/>
      <c r="G17" s="1"/>
      <c r="H17" s="1"/>
      <c r="I17" s="1"/>
      <c r="J17" s="52">
        <f t="shared" ref="J17:T17" si="23">CHOOSE($D$5,J25,J33)</f>
        <v>0.25</v>
      </c>
      <c r="K17" s="52">
        <f t="shared" si="23"/>
        <v>0.245</v>
      </c>
      <c r="L17" s="52">
        <f t="shared" si="23"/>
        <v>0.24</v>
      </c>
      <c r="M17" s="52">
        <f t="shared" si="23"/>
        <v>0.23</v>
      </c>
      <c r="N17" s="52">
        <f t="shared" si="23"/>
        <v>0.22</v>
      </c>
      <c r="O17" s="52">
        <f t="shared" si="23"/>
        <v>0.21</v>
      </c>
      <c r="P17" s="52">
        <f t="shared" si="23"/>
        <v>0.2</v>
      </c>
      <c r="Q17" s="52">
        <f t="shared" si="23"/>
        <v>0.19</v>
      </c>
      <c r="R17" s="52">
        <f t="shared" si="23"/>
        <v>0.18</v>
      </c>
      <c r="S17" s="52">
        <f t="shared" si="23"/>
        <v>0.18</v>
      </c>
      <c r="T17" s="52">
        <f t="shared" si="23"/>
        <v>0.18</v>
      </c>
    </row>
    <row r="18" spans="2:22" outlineLevel="4" x14ac:dyDescent="0.2">
      <c r="E18" s="1"/>
      <c r="F18" s="1"/>
      <c r="G18" s="1"/>
      <c r="H18" s="1"/>
      <c r="I18" s="1"/>
      <c r="J18" s="40"/>
      <c r="K18" s="40"/>
      <c r="L18" s="40"/>
      <c r="M18" s="40"/>
      <c r="N18" s="40"/>
      <c r="O18" s="40"/>
      <c r="P18" s="40"/>
      <c r="Q18" s="40"/>
      <c r="R18" s="40"/>
      <c r="S18" s="40"/>
      <c r="T18" s="40"/>
    </row>
    <row r="19" spans="2:22" outlineLevel="4" x14ac:dyDescent="0.2">
      <c r="B19" s="2" t="s">
        <v>496</v>
      </c>
      <c r="E19" s="1"/>
      <c r="F19" s="1"/>
      <c r="G19" s="1"/>
      <c r="H19" s="1"/>
      <c r="I19" s="1"/>
      <c r="J19" s="40"/>
      <c r="K19" s="40"/>
      <c r="L19" s="40"/>
      <c r="M19" s="40"/>
      <c r="N19" s="40"/>
      <c r="O19" s="40"/>
      <c r="P19" s="40"/>
      <c r="Q19" s="40"/>
      <c r="R19" s="40"/>
      <c r="S19" s="40"/>
      <c r="T19" s="40"/>
    </row>
    <row r="20" spans="2:22" outlineLevel="4" x14ac:dyDescent="0.2">
      <c r="B20" s="2"/>
      <c r="C20" s="1" t="s">
        <v>437</v>
      </c>
      <c r="E20" s="1"/>
      <c r="F20" s="1"/>
      <c r="G20" s="1"/>
      <c r="H20" s="1"/>
      <c r="I20" s="1"/>
      <c r="J20" s="68">
        <v>-8.0000000000000002E-3</v>
      </c>
      <c r="K20" s="68">
        <v>-8.0000000000000002E-3</v>
      </c>
      <c r="L20" s="68">
        <v>-8.0000000000000002E-3</v>
      </c>
      <c r="M20" s="68">
        <v>-8.0000000000000002E-3</v>
      </c>
      <c r="N20" s="68">
        <v>-8.0000000000000002E-3</v>
      </c>
      <c r="O20" s="68">
        <v>-8.0000000000000002E-3</v>
      </c>
      <c r="P20" s="68">
        <v>-8.0000000000000002E-3</v>
      </c>
      <c r="Q20" s="68">
        <v>-8.0000000000000002E-3</v>
      </c>
      <c r="R20" s="68">
        <v>-8.0000000000000002E-3</v>
      </c>
      <c r="S20" s="68">
        <v>-8.0000000000000002E-3</v>
      </c>
      <c r="T20" s="68">
        <v>-8.0000000000000002E-3</v>
      </c>
      <c r="V20" s="1" t="s">
        <v>828</v>
      </c>
    </row>
    <row r="21" spans="2:22" outlineLevel="4" x14ac:dyDescent="0.2">
      <c r="C21" s="1" t="s">
        <v>436</v>
      </c>
      <c r="E21" s="1"/>
      <c r="F21" s="1"/>
      <c r="G21" s="1"/>
      <c r="H21" s="1"/>
      <c r="I21" s="1"/>
      <c r="J21" s="73">
        <v>0.2</v>
      </c>
      <c r="K21" s="73">
        <v>0.12</v>
      </c>
      <c r="L21" s="73">
        <v>0.09</v>
      </c>
      <c r="M21" s="73">
        <v>0.09</v>
      </c>
      <c r="N21" s="73">
        <v>0.09</v>
      </c>
      <c r="O21" s="73">
        <v>0.09</v>
      </c>
      <c r="P21" s="73">
        <v>0.09</v>
      </c>
      <c r="Q21" s="73">
        <v>0.09</v>
      </c>
      <c r="R21" s="73">
        <v>0.09</v>
      </c>
      <c r="S21" s="73">
        <v>0.09</v>
      </c>
      <c r="T21" s="73">
        <v>0.09</v>
      </c>
    </row>
    <row r="22" spans="2:22" outlineLevel="4" x14ac:dyDescent="0.2">
      <c r="C22" s="1" t="s">
        <v>310</v>
      </c>
      <c r="E22" s="1"/>
      <c r="F22" s="1"/>
      <c r="G22" s="1"/>
      <c r="H22" s="1"/>
      <c r="I22" s="1"/>
      <c r="J22" s="73">
        <v>1.088139281828074E-3</v>
      </c>
      <c r="K22" s="73">
        <v>1.088139281828074E-3</v>
      </c>
      <c r="L22" s="73">
        <v>1.088139281828074E-3</v>
      </c>
      <c r="M22" s="73">
        <v>1.088139281828074E-3</v>
      </c>
      <c r="N22" s="73">
        <v>1.088139281828074E-3</v>
      </c>
      <c r="O22" s="73">
        <v>1.088139281828074E-3</v>
      </c>
      <c r="P22" s="73">
        <v>1.088139281828074E-3</v>
      </c>
      <c r="Q22" s="73">
        <v>1.088139281828074E-3</v>
      </c>
      <c r="R22" s="73">
        <v>1.088139281828074E-3</v>
      </c>
      <c r="S22" s="73">
        <v>1.088139281828074E-3</v>
      </c>
      <c r="T22" s="73">
        <v>1.088139281828074E-3</v>
      </c>
    </row>
    <row r="23" spans="2:22" outlineLevel="4" x14ac:dyDescent="0.2">
      <c r="C23" s="1" t="s">
        <v>311</v>
      </c>
      <c r="E23" s="1"/>
      <c r="F23" s="1"/>
      <c r="G23" s="1"/>
      <c r="H23" s="1"/>
      <c r="I23" s="1"/>
      <c r="J23" s="73">
        <v>-0.12881392818280701</v>
      </c>
      <c r="K23" s="141">
        <f>J23-0.75%</f>
        <v>-0.13631392818280702</v>
      </c>
      <c r="L23" s="141">
        <f t="shared" ref="L23" si="24">K23-0.75%</f>
        <v>-0.14381392818280703</v>
      </c>
      <c r="M23" s="141">
        <f>L23-0.5%</f>
        <v>-0.14881392818280703</v>
      </c>
      <c r="N23" s="141">
        <f>M23-0.3%</f>
        <v>-0.15181392818280703</v>
      </c>
      <c r="O23" s="141">
        <f>N23-0.2%</f>
        <v>-0.15381392818280704</v>
      </c>
      <c r="P23" s="141">
        <f>O23</f>
        <v>-0.15381392818280704</v>
      </c>
      <c r="Q23" s="141">
        <f t="shared" ref="Q23:T23" si="25">P23</f>
        <v>-0.15381392818280704</v>
      </c>
      <c r="R23" s="141">
        <f t="shared" si="25"/>
        <v>-0.15381392818280704</v>
      </c>
      <c r="S23" s="141">
        <f t="shared" si="25"/>
        <v>-0.15381392818280704</v>
      </c>
      <c r="T23" s="141">
        <f t="shared" si="25"/>
        <v>-0.15381392818280704</v>
      </c>
      <c r="V23" s="1" t="s">
        <v>599</v>
      </c>
    </row>
    <row r="24" spans="2:22" outlineLevel="4" x14ac:dyDescent="0.2">
      <c r="C24" s="1" t="s">
        <v>312</v>
      </c>
      <c r="E24" s="1"/>
      <c r="F24" s="1"/>
      <c r="G24" s="1"/>
      <c r="H24" s="1"/>
      <c r="I24" s="1"/>
      <c r="J24" s="73">
        <v>-0.34188248095756302</v>
      </c>
      <c r="K24" s="141">
        <f>J24-0.75%</f>
        <v>-0.34938248095756302</v>
      </c>
      <c r="L24" s="141">
        <f t="shared" ref="L24" si="26">K24-0.75%</f>
        <v>-0.35688248095756303</v>
      </c>
      <c r="M24" s="141">
        <f>L24-0.5%</f>
        <v>-0.36188248095756304</v>
      </c>
      <c r="N24" s="141">
        <f>M24-0.3%</f>
        <v>-0.36488248095756304</v>
      </c>
      <c r="O24" s="141">
        <f>N24-0.2%</f>
        <v>-0.36688248095756304</v>
      </c>
      <c r="P24" s="141">
        <f>O24</f>
        <v>-0.36688248095756304</v>
      </c>
      <c r="Q24" s="141">
        <f t="shared" ref="Q24:T24" si="27">P24</f>
        <v>-0.36688248095756304</v>
      </c>
      <c r="R24" s="141">
        <f t="shared" si="27"/>
        <v>-0.36688248095756304</v>
      </c>
      <c r="S24" s="141">
        <f t="shared" si="27"/>
        <v>-0.36688248095756304</v>
      </c>
      <c r="T24" s="141">
        <f t="shared" si="27"/>
        <v>-0.36688248095756304</v>
      </c>
      <c r="V24" s="1" t="s">
        <v>599</v>
      </c>
    </row>
    <row r="25" spans="2:22" outlineLevel="4" x14ac:dyDescent="0.2">
      <c r="C25" s="1" t="s">
        <v>314</v>
      </c>
      <c r="E25" s="1"/>
      <c r="F25" s="1"/>
      <c r="G25" s="1"/>
      <c r="H25" s="1"/>
      <c r="I25" s="1"/>
      <c r="J25" s="73">
        <v>0.25</v>
      </c>
      <c r="K25" s="73">
        <v>0.245</v>
      </c>
      <c r="L25" s="73">
        <v>0.24</v>
      </c>
      <c r="M25" s="73">
        <v>0.23</v>
      </c>
      <c r="N25" s="73">
        <v>0.22</v>
      </c>
      <c r="O25" s="73">
        <v>0.21</v>
      </c>
      <c r="P25" s="73">
        <v>0.2</v>
      </c>
      <c r="Q25" s="73">
        <v>0.19</v>
      </c>
      <c r="R25" s="73">
        <v>0.18</v>
      </c>
      <c r="S25" s="73">
        <v>0.18</v>
      </c>
      <c r="T25" s="73">
        <v>0.18</v>
      </c>
    </row>
    <row r="26" spans="2:22" outlineLevel="4" x14ac:dyDescent="0.2">
      <c r="E26" s="1"/>
      <c r="F26" s="1"/>
      <c r="G26" s="1"/>
      <c r="H26" s="1"/>
      <c r="I26" s="1"/>
      <c r="J26" s="40"/>
      <c r="K26" s="40"/>
      <c r="L26" s="40"/>
      <c r="M26" s="40"/>
      <c r="N26" s="40"/>
      <c r="O26" s="40"/>
      <c r="P26" s="40"/>
      <c r="Q26" s="40"/>
      <c r="R26" s="40"/>
      <c r="S26" s="40"/>
      <c r="T26" s="40"/>
    </row>
    <row r="27" spans="2:22" outlineLevel="4" x14ac:dyDescent="0.2">
      <c r="B27" s="2" t="s">
        <v>497</v>
      </c>
      <c r="E27" s="1"/>
      <c r="F27" s="1"/>
      <c r="G27" s="1"/>
      <c r="H27" s="1"/>
      <c r="I27" s="1"/>
      <c r="J27" s="40"/>
      <c r="K27" s="40"/>
      <c r="L27" s="40"/>
      <c r="M27" s="40"/>
      <c r="N27" s="40"/>
      <c r="O27" s="40"/>
      <c r="P27" s="40"/>
      <c r="Q27" s="40"/>
      <c r="R27" s="40"/>
      <c r="S27" s="40"/>
      <c r="T27" s="40"/>
    </row>
    <row r="28" spans="2:22" outlineLevel="4" x14ac:dyDescent="0.2">
      <c r="B28" s="2"/>
      <c r="C28" s="1" t="s">
        <v>437</v>
      </c>
      <c r="E28" s="1"/>
      <c r="F28" s="1"/>
      <c r="G28" s="1"/>
      <c r="H28" s="1"/>
      <c r="I28" s="1"/>
      <c r="J28" s="68">
        <v>5.0000000000000001E-3</v>
      </c>
      <c r="K28" s="68">
        <v>1.4999999999999999E-2</v>
      </c>
      <c r="L28" s="68">
        <v>1.4999999999999999E-2</v>
      </c>
      <c r="M28" s="68">
        <v>1.4999999999999999E-2</v>
      </c>
      <c r="N28" s="68">
        <v>5.0000000000000001E-3</v>
      </c>
      <c r="O28" s="68">
        <v>5.0000000000000001E-3</v>
      </c>
      <c r="P28" s="68">
        <v>5.0000000000000001E-3</v>
      </c>
      <c r="Q28" s="68">
        <v>5.0000000000000001E-3</v>
      </c>
      <c r="R28" s="68">
        <v>5.0000000000000001E-3</v>
      </c>
      <c r="S28" s="68">
        <v>5.0000000000000001E-3</v>
      </c>
      <c r="T28" s="68">
        <v>5.0000000000000001E-3</v>
      </c>
      <c r="V28" s="1" t="s">
        <v>827</v>
      </c>
    </row>
    <row r="29" spans="2:22" outlineLevel="4" x14ac:dyDescent="0.2">
      <c r="C29" s="1" t="s">
        <v>436</v>
      </c>
      <c r="E29" s="1"/>
      <c r="F29" s="1"/>
      <c r="G29" s="1"/>
      <c r="H29" s="1"/>
      <c r="I29" s="1"/>
      <c r="J29" s="73">
        <v>0.2</v>
      </c>
      <c r="K29" s="73">
        <v>0.12</v>
      </c>
      <c r="L29" s="73">
        <v>0.09</v>
      </c>
      <c r="M29" s="73">
        <v>0.09</v>
      </c>
      <c r="N29" s="73">
        <v>0.09</v>
      </c>
      <c r="O29" s="73">
        <v>0.09</v>
      </c>
      <c r="P29" s="73">
        <v>0.09</v>
      </c>
      <c r="Q29" s="73">
        <v>0.09</v>
      </c>
      <c r="R29" s="73">
        <v>0.09</v>
      </c>
      <c r="S29" s="73">
        <v>0.09</v>
      </c>
      <c r="T29" s="73">
        <v>0.09</v>
      </c>
    </row>
    <row r="30" spans="2:22" outlineLevel="4" x14ac:dyDescent="0.2">
      <c r="C30" s="1" t="s">
        <v>310</v>
      </c>
      <c r="E30" s="1"/>
      <c r="F30" s="1"/>
      <c r="G30" s="1"/>
      <c r="H30" s="1"/>
      <c r="I30" s="1"/>
      <c r="J30" s="73">
        <v>1.088139281828074E-3</v>
      </c>
      <c r="K30" s="73">
        <v>1.088139281828074E-3</v>
      </c>
      <c r="L30" s="73">
        <v>1.088139281828074E-3</v>
      </c>
      <c r="M30" s="73">
        <v>1.088139281828074E-3</v>
      </c>
      <c r="N30" s="73">
        <v>1.088139281828074E-3</v>
      </c>
      <c r="O30" s="73">
        <v>1.088139281828074E-3</v>
      </c>
      <c r="P30" s="73">
        <v>1.088139281828074E-3</v>
      </c>
      <c r="Q30" s="73">
        <v>1.088139281828074E-3</v>
      </c>
      <c r="R30" s="73">
        <v>1.088139281828074E-3</v>
      </c>
      <c r="S30" s="73">
        <v>1.088139281828074E-3</v>
      </c>
      <c r="T30" s="73">
        <v>1.088139281828074E-3</v>
      </c>
    </row>
    <row r="31" spans="2:22" outlineLevel="4" x14ac:dyDescent="0.2">
      <c r="C31" s="1" t="s">
        <v>311</v>
      </c>
      <c r="E31" s="1"/>
      <c r="F31" s="1"/>
      <c r="G31" s="1"/>
      <c r="H31" s="1"/>
      <c r="I31" s="1"/>
      <c r="J31" s="141">
        <f t="shared" ref="J31:T31" si="28">J23+0.5%</f>
        <v>-0.12381392818280701</v>
      </c>
      <c r="K31" s="141">
        <f t="shared" si="28"/>
        <v>-0.13131392818280702</v>
      </c>
      <c r="L31" s="141">
        <f t="shared" si="28"/>
        <v>-0.13881392818280702</v>
      </c>
      <c r="M31" s="141">
        <f t="shared" si="28"/>
        <v>-0.14381392818280703</v>
      </c>
      <c r="N31" s="141">
        <f t="shared" si="28"/>
        <v>-0.14681392818280703</v>
      </c>
      <c r="O31" s="141">
        <f t="shared" si="28"/>
        <v>-0.14881392818280703</v>
      </c>
      <c r="P31" s="141">
        <f t="shared" si="28"/>
        <v>-0.14881392818280703</v>
      </c>
      <c r="Q31" s="141">
        <f t="shared" si="28"/>
        <v>-0.14881392818280703</v>
      </c>
      <c r="R31" s="141">
        <f t="shared" si="28"/>
        <v>-0.14881392818280703</v>
      </c>
      <c r="S31" s="141">
        <f t="shared" si="28"/>
        <v>-0.14881392818280703</v>
      </c>
      <c r="T31" s="141">
        <f t="shared" si="28"/>
        <v>-0.14881392818280703</v>
      </c>
    </row>
    <row r="32" spans="2:22" outlineLevel="4" x14ac:dyDescent="0.2">
      <c r="C32" s="1" t="s">
        <v>312</v>
      </c>
      <c r="E32" s="1"/>
      <c r="F32" s="1"/>
      <c r="G32" s="1"/>
      <c r="H32" s="1"/>
      <c r="I32" s="1"/>
      <c r="J32" s="141">
        <f t="shared" ref="J32:T32" si="29">J24+0.5%</f>
        <v>-0.33688248095756301</v>
      </c>
      <c r="K32" s="141">
        <f t="shared" si="29"/>
        <v>-0.34438248095756302</v>
      </c>
      <c r="L32" s="141">
        <f t="shared" si="29"/>
        <v>-0.35188248095756303</v>
      </c>
      <c r="M32" s="141">
        <f t="shared" si="29"/>
        <v>-0.35688248095756303</v>
      </c>
      <c r="N32" s="141">
        <f t="shared" si="29"/>
        <v>-0.35988248095756303</v>
      </c>
      <c r="O32" s="141">
        <f t="shared" si="29"/>
        <v>-0.36188248095756304</v>
      </c>
      <c r="P32" s="141">
        <f t="shared" si="29"/>
        <v>-0.36188248095756304</v>
      </c>
      <c r="Q32" s="141">
        <f t="shared" si="29"/>
        <v>-0.36188248095756304</v>
      </c>
      <c r="R32" s="141">
        <f t="shared" si="29"/>
        <v>-0.36188248095756304</v>
      </c>
      <c r="S32" s="141">
        <f t="shared" si="29"/>
        <v>-0.36188248095756304</v>
      </c>
      <c r="T32" s="141">
        <f t="shared" si="29"/>
        <v>-0.36188248095756304</v>
      </c>
    </row>
    <row r="33" spans="1:22" outlineLevel="4" x14ac:dyDescent="0.2">
      <c r="C33" s="1" t="s">
        <v>314</v>
      </c>
      <c r="E33" s="1"/>
      <c r="F33" s="1"/>
      <c r="G33" s="1"/>
      <c r="H33" s="1"/>
      <c r="I33" s="1"/>
      <c r="J33" s="141">
        <f t="shared" ref="J33:T33" si="30">J25-2%</f>
        <v>0.23</v>
      </c>
      <c r="K33" s="141">
        <f t="shared" si="30"/>
        <v>0.22500000000000001</v>
      </c>
      <c r="L33" s="141">
        <f t="shared" si="30"/>
        <v>0.22</v>
      </c>
      <c r="M33" s="141">
        <f t="shared" si="30"/>
        <v>0.21000000000000002</v>
      </c>
      <c r="N33" s="141">
        <f t="shared" si="30"/>
        <v>0.2</v>
      </c>
      <c r="O33" s="141">
        <f t="shared" si="30"/>
        <v>0.19</v>
      </c>
      <c r="P33" s="141">
        <f t="shared" si="30"/>
        <v>0.18000000000000002</v>
      </c>
      <c r="Q33" s="141">
        <f t="shared" si="30"/>
        <v>0.17</v>
      </c>
      <c r="R33" s="141">
        <f t="shared" si="30"/>
        <v>0.16</v>
      </c>
      <c r="S33" s="141">
        <f t="shared" si="30"/>
        <v>0.16</v>
      </c>
      <c r="T33" s="141">
        <f t="shared" si="30"/>
        <v>0.16</v>
      </c>
    </row>
    <row r="34" spans="1:22" outlineLevel="3" x14ac:dyDescent="0.2">
      <c r="E34" s="1"/>
      <c r="F34" s="1"/>
      <c r="G34" s="1"/>
      <c r="H34" s="1"/>
      <c r="I34" s="1"/>
      <c r="J34" s="1"/>
      <c r="K34" s="1"/>
      <c r="L34" s="1"/>
      <c r="M34" s="1"/>
      <c r="N34" s="1"/>
      <c r="O34" s="1"/>
      <c r="P34" s="1"/>
      <c r="Q34" s="1"/>
      <c r="R34" s="1"/>
      <c r="S34" s="1"/>
      <c r="T34" s="1"/>
    </row>
    <row r="35" spans="1:22" outlineLevel="3" x14ac:dyDescent="0.2">
      <c r="A35" s="1" t="s">
        <v>22</v>
      </c>
      <c r="B35" s="75" t="s">
        <v>125</v>
      </c>
      <c r="C35" s="76"/>
      <c r="D35" s="77"/>
      <c r="E35" s="76"/>
      <c r="F35" s="76"/>
      <c r="G35" s="76"/>
      <c r="H35" s="76"/>
      <c r="I35" s="76"/>
      <c r="J35" s="76"/>
      <c r="K35" s="76"/>
      <c r="L35" s="76"/>
      <c r="M35" s="76"/>
      <c r="N35" s="76"/>
      <c r="O35" s="76"/>
      <c r="P35" s="76"/>
      <c r="Q35" s="76"/>
      <c r="R35" s="76"/>
      <c r="S35" s="76"/>
      <c r="T35" s="76"/>
    </row>
    <row r="36" spans="1:22" outlineLevel="4" x14ac:dyDescent="0.2">
      <c r="E36" s="1"/>
      <c r="F36" s="1"/>
      <c r="G36" s="1"/>
      <c r="H36" s="1"/>
      <c r="I36" s="1"/>
      <c r="J36" s="1"/>
      <c r="K36" s="1"/>
      <c r="L36" s="1"/>
      <c r="M36" s="1"/>
      <c r="N36" s="1"/>
      <c r="O36" s="1"/>
      <c r="P36" s="1"/>
      <c r="Q36" s="1"/>
      <c r="R36" s="1"/>
      <c r="S36" s="1"/>
      <c r="T36" s="1"/>
    </row>
    <row r="37" spans="1:22" outlineLevel="4" x14ac:dyDescent="0.2">
      <c r="C37" s="2" t="s">
        <v>284</v>
      </c>
      <c r="E37" s="136">
        <v>26.96</v>
      </c>
      <c r="F37" s="136">
        <v>27.29</v>
      </c>
      <c r="G37" s="136">
        <v>32.340000000000003</v>
      </c>
      <c r="H37" s="136">
        <v>36.57</v>
      </c>
      <c r="I37" s="136">
        <v>40.159999999999997</v>
      </c>
      <c r="J37" s="149">
        <f>I37/(1+J38)</f>
        <v>41.833333333333329</v>
      </c>
      <c r="K37" s="149">
        <f t="shared" ref="K37:O37" si="31">J37/(1+K38)</f>
        <v>43.576388888888886</v>
      </c>
      <c r="L37" s="149">
        <f t="shared" si="31"/>
        <v>45.39207175925926</v>
      </c>
      <c r="M37" s="149">
        <f t="shared" si="31"/>
        <v>47.283408082561728</v>
      </c>
      <c r="N37" s="149">
        <f t="shared" si="31"/>
        <v>49.253550086001802</v>
      </c>
      <c r="O37" s="149">
        <f t="shared" si="31"/>
        <v>51.305781339585209</v>
      </c>
      <c r="P37" s="149">
        <f t="shared" ref="P37" si="32">O37/(1+P38)</f>
        <v>53.443522228734594</v>
      </c>
      <c r="Q37" s="149">
        <f t="shared" ref="Q37" si="33">P37/(1+Q38)</f>
        <v>55.670335654931868</v>
      </c>
      <c r="R37" s="149">
        <f t="shared" ref="R37" si="34">Q37/(1+R38)</f>
        <v>57.989932973887363</v>
      </c>
      <c r="S37" s="149">
        <f t="shared" ref="S37" si="35">R37/(1+S38)</f>
        <v>60.406180181132669</v>
      </c>
      <c r="T37" s="149">
        <f t="shared" ref="T37" si="36">S37/(1+T38)</f>
        <v>62.923104355346531</v>
      </c>
      <c r="V37" s="1" t="s">
        <v>399</v>
      </c>
    </row>
    <row r="38" spans="1:22" outlineLevel="4" x14ac:dyDescent="0.2">
      <c r="C38" s="3" t="s">
        <v>148</v>
      </c>
      <c r="E38" s="136"/>
      <c r="F38" s="52">
        <f>IFERROR(E37/F37-1,"")</f>
        <v>-1.2092341517039196E-2</v>
      </c>
      <c r="G38" s="52">
        <f t="shared" ref="G38:I38" si="37">IFERROR(F37/G37-1,"")</f>
        <v>-0.15615337043908484</v>
      </c>
      <c r="H38" s="52">
        <f t="shared" si="37"/>
        <v>-0.1156685808039376</v>
      </c>
      <c r="I38" s="52">
        <f t="shared" si="37"/>
        <v>-8.9392430278884327E-2</v>
      </c>
      <c r="J38" s="68">
        <v>-0.04</v>
      </c>
      <c r="K38" s="68">
        <v>-0.04</v>
      </c>
      <c r="L38" s="68">
        <v>-0.04</v>
      </c>
      <c r="M38" s="68">
        <v>-0.04</v>
      </c>
      <c r="N38" s="68">
        <v>-0.04</v>
      </c>
      <c r="O38" s="68">
        <v>-0.04</v>
      </c>
      <c r="P38" s="68">
        <v>-0.04</v>
      </c>
      <c r="Q38" s="68">
        <v>-0.04</v>
      </c>
      <c r="R38" s="68">
        <v>-0.04</v>
      </c>
      <c r="S38" s="68">
        <v>-0.04</v>
      </c>
      <c r="T38" s="68">
        <v>-0.04</v>
      </c>
    </row>
    <row r="39" spans="1:22" outlineLevel="4" x14ac:dyDescent="0.2">
      <c r="E39" s="1"/>
      <c r="F39" s="1"/>
      <c r="G39" s="1"/>
      <c r="H39" s="1"/>
      <c r="I39" s="1"/>
      <c r="J39" s="1"/>
      <c r="K39" s="1"/>
      <c r="L39" s="1"/>
      <c r="M39" s="1"/>
      <c r="N39" s="1"/>
      <c r="O39" s="1"/>
      <c r="P39" s="1"/>
      <c r="Q39" s="1"/>
      <c r="R39" s="1"/>
      <c r="S39" s="1"/>
      <c r="T39" s="1"/>
    </row>
    <row r="40" spans="1:22" outlineLevel="4" x14ac:dyDescent="0.2">
      <c r="C40" s="2" t="s">
        <v>637</v>
      </c>
      <c r="D40" s="43" t="s">
        <v>638</v>
      </c>
      <c r="E40" s="66">
        <v>3977.1979999999999</v>
      </c>
      <c r="F40" s="66">
        <v>4222.0259999999998</v>
      </c>
      <c r="G40" s="66">
        <v>5450.8490000000002</v>
      </c>
      <c r="H40" s="66">
        <v>5239.1139999999996</v>
      </c>
      <c r="I40" s="66">
        <v>6627.9610000000002</v>
      </c>
      <c r="J40" s="66">
        <v>7658.6589999999997</v>
      </c>
      <c r="K40" s="67">
        <f>(1+K41)*J40</f>
        <v>8730.8712599999999</v>
      </c>
      <c r="L40" s="67">
        <f t="shared" ref="L40:T40" si="38">(1+L41)*K40</f>
        <v>9953.1932364000004</v>
      </c>
      <c r="M40" s="67">
        <f t="shared" si="38"/>
        <v>11346.640289496001</v>
      </c>
      <c r="N40" s="67">
        <f t="shared" si="38"/>
        <v>12935.169930025442</v>
      </c>
      <c r="O40" s="67">
        <f t="shared" si="38"/>
        <v>14746.093720229006</v>
      </c>
      <c r="P40" s="67">
        <f t="shared" si="38"/>
        <v>16810.54684106107</v>
      </c>
      <c r="Q40" s="67">
        <f t="shared" si="38"/>
        <v>19164.023398809622</v>
      </c>
      <c r="R40" s="67">
        <f t="shared" si="38"/>
        <v>21846.986674642973</v>
      </c>
      <c r="S40" s="67">
        <f t="shared" si="38"/>
        <v>24905.56480909299</v>
      </c>
      <c r="T40" s="67">
        <f t="shared" si="38"/>
        <v>28392.343882366011</v>
      </c>
      <c r="V40" s="1" t="s">
        <v>398</v>
      </c>
    </row>
    <row r="41" spans="1:22" outlineLevel="4" x14ac:dyDescent="0.2">
      <c r="C41" s="1" t="s">
        <v>148</v>
      </c>
      <c r="E41" s="1"/>
      <c r="F41" s="52">
        <f t="shared" ref="F41" si="39">IFERROR(F40/E40-1,"")</f>
        <v>6.1557910870919663E-2</v>
      </c>
      <c r="G41" s="52">
        <f t="shared" ref="G41" si="40">IFERROR(G40/F40-1,"")</f>
        <v>0.29105055250725598</v>
      </c>
      <c r="H41" s="52">
        <f t="shared" ref="H41" si="41">IFERROR(H40/G40-1,"")</f>
        <v>-3.8844407540917114E-2</v>
      </c>
      <c r="I41" s="52">
        <f t="shared" ref="I41" si="42">IFERROR(I40/H40-1,"")</f>
        <v>0.26509196020548531</v>
      </c>
      <c r="J41" s="52">
        <f t="shared" ref="J41" si="43">IFERROR(J40/I40-1,"")</f>
        <v>0.15550755352966017</v>
      </c>
      <c r="K41" s="68">
        <v>0.14000000000000001</v>
      </c>
      <c r="L41" s="68">
        <v>0.14000000000000001</v>
      </c>
      <c r="M41" s="68">
        <v>0.14000000000000001</v>
      </c>
      <c r="N41" s="68">
        <v>0.14000000000000001</v>
      </c>
      <c r="O41" s="68">
        <v>0.14000000000000001</v>
      </c>
      <c r="P41" s="68">
        <v>0.14000000000000001</v>
      </c>
      <c r="Q41" s="68">
        <v>0.14000000000000001</v>
      </c>
      <c r="R41" s="68">
        <v>0.14000000000000001</v>
      </c>
      <c r="S41" s="68">
        <v>0.14000000000000001</v>
      </c>
      <c r="T41" s="68">
        <v>0.14000000000000001</v>
      </c>
    </row>
    <row r="42" spans="1:22" outlineLevel="4" x14ac:dyDescent="0.2">
      <c r="C42" s="2" t="s">
        <v>637</v>
      </c>
      <c r="D42" s="43" t="s">
        <v>640</v>
      </c>
      <c r="E42" s="67">
        <f>E40/E37</f>
        <v>147.52218100890207</v>
      </c>
      <c r="F42" s="67">
        <f t="shared" ref="F42:T42" si="44">F40/F37</f>
        <v>154.70963722975449</v>
      </c>
      <c r="G42" s="67">
        <f t="shared" si="44"/>
        <v>168.5482065553494</v>
      </c>
      <c r="H42" s="67">
        <f t="shared" si="44"/>
        <v>143.26261963357942</v>
      </c>
      <c r="I42" s="67">
        <f t="shared" si="44"/>
        <v>165.03886952191237</v>
      </c>
      <c r="J42" s="67">
        <f t="shared" si="44"/>
        <v>183.07551394422313</v>
      </c>
      <c r="K42" s="67">
        <f t="shared" si="44"/>
        <v>200.35784246055778</v>
      </c>
      <c r="L42" s="67">
        <f t="shared" si="44"/>
        <v>219.27162278883443</v>
      </c>
      <c r="M42" s="67">
        <f t="shared" si="44"/>
        <v>239.9708639801004</v>
      </c>
      <c r="N42" s="67">
        <f t="shared" si="44"/>
        <v>262.62411353982191</v>
      </c>
      <c r="O42" s="67">
        <f t="shared" si="44"/>
        <v>287.41582985798112</v>
      </c>
      <c r="P42" s="67">
        <f t="shared" si="44"/>
        <v>314.54788419657461</v>
      </c>
      <c r="Q42" s="67">
        <f t="shared" si="44"/>
        <v>344.24120446473131</v>
      </c>
      <c r="R42" s="67">
        <f t="shared" si="44"/>
        <v>376.73757416620197</v>
      </c>
      <c r="S42" s="67">
        <f t="shared" si="44"/>
        <v>412.30160116749147</v>
      </c>
      <c r="T42" s="67">
        <f t="shared" si="44"/>
        <v>451.22287231770269</v>
      </c>
    </row>
    <row r="43" spans="1:22" outlineLevel="4" x14ac:dyDescent="0.2">
      <c r="C43" s="2"/>
      <c r="E43" s="1"/>
      <c r="F43" s="1"/>
      <c r="G43" s="1"/>
      <c r="H43" s="1"/>
      <c r="I43" s="1"/>
      <c r="J43" s="1"/>
      <c r="K43" s="1"/>
      <c r="L43" s="1"/>
      <c r="M43" s="1"/>
      <c r="N43" s="1"/>
      <c r="O43" s="1"/>
      <c r="P43" s="1"/>
      <c r="Q43" s="1"/>
      <c r="R43" s="1"/>
      <c r="S43" s="1"/>
      <c r="T43" s="1"/>
    </row>
    <row r="44" spans="1:22" outlineLevel="4" x14ac:dyDescent="0.2">
      <c r="C44" s="2" t="s">
        <v>147</v>
      </c>
      <c r="D44" s="72" t="s">
        <v>134</v>
      </c>
      <c r="E44" s="66">
        <v>44680.014000000003</v>
      </c>
      <c r="F44" s="66">
        <v>44298.64</v>
      </c>
      <c r="G44" s="66">
        <v>41048.766000000003</v>
      </c>
      <c r="H44" s="66">
        <v>37732.836000000003</v>
      </c>
      <c r="I44" s="66">
        <v>37860.220999999998</v>
      </c>
      <c r="J44" s="67">
        <f>(1+J45)*I44</f>
        <v>37557.339231999998</v>
      </c>
      <c r="K44" s="67">
        <f>(1+K45)*J44</f>
        <v>37256.880518143997</v>
      </c>
      <c r="L44" s="67">
        <f t="shared" ref="L44:O44" si="45">(1+L45)*K44</f>
        <v>36958.825473998848</v>
      </c>
      <c r="M44" s="67">
        <f t="shared" si="45"/>
        <v>36663.154870206854</v>
      </c>
      <c r="N44" s="67">
        <f t="shared" si="45"/>
        <v>36369.849631245197</v>
      </c>
      <c r="O44" s="67">
        <f t="shared" si="45"/>
        <v>36078.890834195234</v>
      </c>
      <c r="P44" s="67">
        <f t="shared" ref="P44" si="46">(1+P45)*O44</f>
        <v>35790.259707521669</v>
      </c>
      <c r="Q44" s="67">
        <f t="shared" ref="Q44" si="47">(1+Q45)*P44</f>
        <v>35503.937629861495</v>
      </c>
      <c r="R44" s="67">
        <f t="shared" ref="R44" si="48">(1+R45)*Q44</f>
        <v>35219.9061288226</v>
      </c>
      <c r="S44" s="67">
        <f t="shared" ref="S44" si="49">(1+S45)*R44</f>
        <v>34938.146879792017</v>
      </c>
      <c r="T44" s="67">
        <f t="shared" ref="T44" si="50">(1+T45)*S44</f>
        <v>34658.641704753682</v>
      </c>
      <c r="V44" s="1" t="s">
        <v>398</v>
      </c>
    </row>
    <row r="45" spans="1:22" outlineLevel="4" x14ac:dyDescent="0.2">
      <c r="C45" s="1" t="s">
        <v>148</v>
      </c>
      <c r="E45" s="1"/>
      <c r="F45" s="52">
        <f>IFERROR(F44/E44-1,"")</f>
        <v>-8.5356732430746929E-3</v>
      </c>
      <c r="G45" s="52">
        <f t="shared" ref="G45:I45" si="51">IFERROR(G44/F44-1,"")</f>
        <v>-7.3362839130049928E-2</v>
      </c>
      <c r="H45" s="52">
        <f t="shared" si="51"/>
        <v>-8.0780260239735391E-2</v>
      </c>
      <c r="I45" s="52">
        <f t="shared" si="51"/>
        <v>3.3759720578647734E-3</v>
      </c>
      <c r="J45" s="69">
        <f>J12</f>
        <v>-8.0000000000000002E-3</v>
      </c>
      <c r="K45" s="69">
        <f t="shared" ref="K45:T45" si="52">K12</f>
        <v>-8.0000000000000002E-3</v>
      </c>
      <c r="L45" s="69">
        <f t="shared" si="52"/>
        <v>-8.0000000000000002E-3</v>
      </c>
      <c r="M45" s="69">
        <f t="shared" si="52"/>
        <v>-8.0000000000000002E-3</v>
      </c>
      <c r="N45" s="69">
        <f t="shared" si="52"/>
        <v>-8.0000000000000002E-3</v>
      </c>
      <c r="O45" s="69">
        <f t="shared" si="52"/>
        <v>-8.0000000000000002E-3</v>
      </c>
      <c r="P45" s="69">
        <f t="shared" si="52"/>
        <v>-8.0000000000000002E-3</v>
      </c>
      <c r="Q45" s="69">
        <f t="shared" si="52"/>
        <v>-8.0000000000000002E-3</v>
      </c>
      <c r="R45" s="69">
        <f t="shared" si="52"/>
        <v>-8.0000000000000002E-3</v>
      </c>
      <c r="S45" s="69">
        <f t="shared" si="52"/>
        <v>-8.0000000000000002E-3</v>
      </c>
      <c r="T45" s="69">
        <f t="shared" si="52"/>
        <v>-8.0000000000000002E-3</v>
      </c>
    </row>
    <row r="46" spans="1:22" outlineLevel="4" x14ac:dyDescent="0.2">
      <c r="C46" s="1" t="s">
        <v>826</v>
      </c>
      <c r="D46" s="72" t="s">
        <v>134</v>
      </c>
      <c r="E46" s="1"/>
      <c r="F46" s="67">
        <f>F44-E44</f>
        <v>-381.37400000000343</v>
      </c>
      <c r="G46" s="67">
        <f t="shared" ref="G46:T46" si="53">G44-F44</f>
        <v>-3249.8739999999962</v>
      </c>
      <c r="H46" s="67">
        <f t="shared" si="53"/>
        <v>-3315.9300000000003</v>
      </c>
      <c r="I46" s="67">
        <f t="shared" si="53"/>
        <v>127.38499999999476</v>
      </c>
      <c r="J46" s="67">
        <f t="shared" si="53"/>
        <v>-302.88176799999928</v>
      </c>
      <c r="K46" s="67">
        <f t="shared" si="53"/>
        <v>-300.45871385600185</v>
      </c>
      <c r="L46" s="67">
        <f t="shared" si="53"/>
        <v>-298.05504414514871</v>
      </c>
      <c r="M46" s="67">
        <f t="shared" si="53"/>
        <v>-295.67060379199393</v>
      </c>
      <c r="N46" s="67">
        <f t="shared" si="53"/>
        <v>-293.30523896165687</v>
      </c>
      <c r="O46" s="67">
        <f t="shared" si="53"/>
        <v>-290.95879704996332</v>
      </c>
      <c r="P46" s="67">
        <f t="shared" si="53"/>
        <v>-288.63112667356472</v>
      </c>
      <c r="Q46" s="67">
        <f t="shared" si="53"/>
        <v>-286.32207766017382</v>
      </c>
      <c r="R46" s="67">
        <f t="shared" si="53"/>
        <v>-284.03150103889493</v>
      </c>
      <c r="S46" s="67">
        <f t="shared" si="53"/>
        <v>-281.75924903058331</v>
      </c>
      <c r="T46" s="67">
        <f t="shared" si="53"/>
        <v>-279.50517503833544</v>
      </c>
    </row>
    <row r="47" spans="1:22" outlineLevel="4" x14ac:dyDescent="0.2">
      <c r="E47" s="1"/>
      <c r="F47" s="1"/>
      <c r="G47" s="1"/>
      <c r="H47" s="1"/>
      <c r="I47" s="1"/>
      <c r="J47" s="1"/>
      <c r="K47" s="1"/>
      <c r="L47" s="1"/>
      <c r="M47" s="1"/>
      <c r="N47" s="1"/>
      <c r="O47" s="1"/>
      <c r="P47" s="1"/>
      <c r="Q47" s="1"/>
      <c r="R47" s="1"/>
      <c r="S47" s="1"/>
      <c r="T47" s="1"/>
    </row>
    <row r="48" spans="1:22" outlineLevel="4" x14ac:dyDescent="0.2">
      <c r="C48" s="2" t="s">
        <v>149</v>
      </c>
      <c r="D48" s="43" t="s">
        <v>135</v>
      </c>
      <c r="E48" s="52"/>
      <c r="F48" s="1"/>
      <c r="G48" s="1"/>
      <c r="H48" s="52">
        <f>IFERROR(H66/H44,"")</f>
        <v>1.3174255352341304</v>
      </c>
      <c r="I48" s="52">
        <f>IFERROR(I66/I44,"")</f>
        <v>1.2876154278396039</v>
      </c>
      <c r="J48" s="40">
        <f>I48+J49</f>
        <v>1.3076154278396039</v>
      </c>
      <c r="K48" s="40">
        <f t="shared" ref="K48:O48" si="54">J48+K49</f>
        <v>1.327615427839604</v>
      </c>
      <c r="L48" s="40">
        <f t="shared" si="54"/>
        <v>1.347615427839604</v>
      </c>
      <c r="M48" s="40">
        <f t="shared" si="54"/>
        <v>1.367615427839604</v>
      </c>
      <c r="N48" s="40">
        <f t="shared" si="54"/>
        <v>1.387615427839604</v>
      </c>
      <c r="O48" s="40">
        <f t="shared" si="54"/>
        <v>1.407615427839604</v>
      </c>
      <c r="P48" s="40">
        <f t="shared" ref="P48" si="55">O48+P49</f>
        <v>1.427615427839604</v>
      </c>
      <c r="Q48" s="40">
        <f t="shared" ref="Q48" si="56">P48+Q49</f>
        <v>1.4476154278396041</v>
      </c>
      <c r="R48" s="40">
        <f t="shared" ref="R48" si="57">Q48+R49</f>
        <v>1.4676154278396041</v>
      </c>
      <c r="S48" s="40">
        <f t="shared" ref="S48" si="58">R48+S49</f>
        <v>1.4876154278396041</v>
      </c>
      <c r="T48" s="40">
        <f t="shared" ref="T48" si="59">S48+T49</f>
        <v>1.5076154278396041</v>
      </c>
    </row>
    <row r="49" spans="1:22" outlineLevel="4" x14ac:dyDescent="0.2">
      <c r="C49" s="3" t="s">
        <v>150</v>
      </c>
      <c r="E49" s="1"/>
      <c r="F49" s="1"/>
      <c r="G49" s="1"/>
      <c r="H49" s="1"/>
      <c r="I49" s="40">
        <f>I48-H48</f>
        <v>-2.9810107394526497E-2</v>
      </c>
      <c r="J49" s="68">
        <v>0.02</v>
      </c>
      <c r="K49" s="68">
        <v>0.02</v>
      </c>
      <c r="L49" s="68">
        <v>0.02</v>
      </c>
      <c r="M49" s="68">
        <v>0.02</v>
      </c>
      <c r="N49" s="68">
        <v>0.02</v>
      </c>
      <c r="O49" s="68">
        <v>0.02</v>
      </c>
      <c r="P49" s="68">
        <v>0.02</v>
      </c>
      <c r="Q49" s="68">
        <v>0.02</v>
      </c>
      <c r="R49" s="68">
        <v>0.02</v>
      </c>
      <c r="S49" s="68">
        <v>0.02</v>
      </c>
      <c r="T49" s="68">
        <v>0.02</v>
      </c>
      <c r="V49" s="1" t="s">
        <v>152</v>
      </c>
    </row>
    <row r="50" spans="1:22" outlineLevel="4" x14ac:dyDescent="0.2">
      <c r="C50" s="2"/>
      <c r="E50" s="1"/>
      <c r="F50" s="1"/>
      <c r="G50" s="1"/>
      <c r="H50" s="1"/>
      <c r="I50" s="1"/>
      <c r="J50" s="1"/>
      <c r="K50" s="1"/>
      <c r="L50" s="1"/>
      <c r="M50" s="1"/>
      <c r="N50" s="1"/>
      <c r="O50" s="1"/>
      <c r="P50" s="1"/>
      <c r="Q50" s="1"/>
      <c r="R50" s="1"/>
      <c r="S50" s="1"/>
      <c r="T50" s="1"/>
    </row>
    <row r="51" spans="1:22" outlineLevel="4" x14ac:dyDescent="0.2">
      <c r="C51" s="3" t="s">
        <v>157</v>
      </c>
      <c r="E51" s="104">
        <v>2.4</v>
      </c>
      <c r="F51" s="104">
        <v>2.4</v>
      </c>
      <c r="G51" s="104">
        <v>2.4</v>
      </c>
      <c r="H51" s="104">
        <v>2.4</v>
      </c>
      <c r="I51" s="104">
        <v>2.4</v>
      </c>
      <c r="J51" s="65">
        <f>I51</f>
        <v>2.4</v>
      </c>
      <c r="K51" s="65">
        <f t="shared" ref="K51:O51" si="60">J51</f>
        <v>2.4</v>
      </c>
      <c r="L51" s="65">
        <f t="shared" si="60"/>
        <v>2.4</v>
      </c>
      <c r="M51" s="65">
        <f t="shared" si="60"/>
        <v>2.4</v>
      </c>
      <c r="N51" s="65">
        <f t="shared" si="60"/>
        <v>2.4</v>
      </c>
      <c r="O51" s="65">
        <f t="shared" si="60"/>
        <v>2.4</v>
      </c>
      <c r="P51" s="65">
        <f t="shared" ref="P51" si="61">O51</f>
        <v>2.4</v>
      </c>
      <c r="Q51" s="65">
        <f t="shared" ref="Q51" si="62">P51</f>
        <v>2.4</v>
      </c>
      <c r="R51" s="65">
        <f t="shared" ref="R51" si="63">Q51</f>
        <v>2.4</v>
      </c>
      <c r="S51" s="65">
        <f t="shared" ref="S51" si="64">R51</f>
        <v>2.4</v>
      </c>
      <c r="T51" s="65">
        <f t="shared" ref="T51" si="65">S51</f>
        <v>2.4</v>
      </c>
    </row>
    <row r="52" spans="1:22" outlineLevel="4" x14ac:dyDescent="0.2">
      <c r="C52" s="2"/>
      <c r="E52" s="1"/>
      <c r="F52" s="1"/>
      <c r="G52" s="1"/>
      <c r="H52" s="1"/>
      <c r="I52" s="1"/>
      <c r="J52" s="1"/>
      <c r="K52" s="1"/>
      <c r="L52" s="1"/>
      <c r="M52" s="1"/>
      <c r="N52" s="1"/>
      <c r="O52" s="1"/>
      <c r="P52" s="1"/>
      <c r="Q52" s="1"/>
      <c r="R52" s="1"/>
      <c r="S52" s="1"/>
      <c r="T52" s="1"/>
    </row>
    <row r="53" spans="1:22" outlineLevel="4" x14ac:dyDescent="0.2">
      <c r="C53" s="2" t="s">
        <v>156</v>
      </c>
      <c r="E53" s="67">
        <f>IFERROR(E44/E51,"")</f>
        <v>18616.672500000001</v>
      </c>
      <c r="F53" s="67">
        <f t="shared" ref="F53:O53" si="66">IFERROR(F44/F51,"")</f>
        <v>18457.766666666666</v>
      </c>
      <c r="G53" s="67">
        <f t="shared" si="66"/>
        <v>17103.652500000004</v>
      </c>
      <c r="H53" s="67">
        <f t="shared" si="66"/>
        <v>15722.015000000001</v>
      </c>
      <c r="I53" s="67">
        <f t="shared" si="66"/>
        <v>15775.092083333333</v>
      </c>
      <c r="J53" s="67">
        <f t="shared" si="66"/>
        <v>15648.891346666667</v>
      </c>
      <c r="K53" s="67">
        <f t="shared" si="66"/>
        <v>15523.700215893332</v>
      </c>
      <c r="L53" s="67">
        <f t="shared" si="66"/>
        <v>15399.510614166187</v>
      </c>
      <c r="M53" s="67">
        <f t="shared" si="66"/>
        <v>15276.314529252857</v>
      </c>
      <c r="N53" s="67">
        <f t="shared" si="66"/>
        <v>15154.104013018832</v>
      </c>
      <c r="O53" s="67">
        <f t="shared" si="66"/>
        <v>15032.871180914681</v>
      </c>
      <c r="P53" s="67">
        <f t="shared" ref="P53:T53" si="67">IFERROR(P44/P51,"")</f>
        <v>14912.608211467363</v>
      </c>
      <c r="Q53" s="67">
        <f t="shared" si="67"/>
        <v>14793.307345775624</v>
      </c>
      <c r="R53" s="67">
        <f t="shared" si="67"/>
        <v>14674.960887009418</v>
      </c>
      <c r="S53" s="67">
        <f t="shared" si="67"/>
        <v>14557.561199913342</v>
      </c>
      <c r="T53" s="67">
        <f t="shared" si="67"/>
        <v>14441.100710314035</v>
      </c>
    </row>
    <row r="54" spans="1:22" outlineLevel="4" x14ac:dyDescent="0.2">
      <c r="C54" s="2"/>
      <c r="E54" s="1"/>
      <c r="F54" s="1"/>
      <c r="G54" s="1"/>
      <c r="H54" s="1"/>
      <c r="I54" s="1"/>
      <c r="J54" s="1"/>
      <c r="K54" s="1"/>
      <c r="L54" s="1"/>
      <c r="M54" s="1"/>
      <c r="N54" s="1"/>
      <c r="O54" s="1"/>
      <c r="P54" s="1"/>
      <c r="Q54" s="1"/>
      <c r="R54" s="1"/>
      <c r="S54" s="1"/>
      <c r="T54" s="1"/>
    </row>
    <row r="55" spans="1:22" outlineLevel="4" x14ac:dyDescent="0.2">
      <c r="C55" s="2" t="s">
        <v>158</v>
      </c>
      <c r="E55" s="52">
        <f>IFERROR(E113/E53,"")</f>
        <v>0.4173356436280436</v>
      </c>
      <c r="F55" s="52">
        <f>IFERROR(F113/F53,"")</f>
        <v>0.40992424146655521</v>
      </c>
      <c r="G55" s="52">
        <f>IFERROR(G113/G53,"")</f>
        <v>0.42043183466221606</v>
      </c>
      <c r="H55" s="52">
        <f>IFERROR(H113/H53,"")</f>
        <v>0.51329298439163173</v>
      </c>
      <c r="I55" s="52">
        <f>IFERROR(I113/I53,"")</f>
        <v>0.50742844822510047</v>
      </c>
      <c r="J55" s="40">
        <f>I55+J56</f>
        <v>0.5374284482251005</v>
      </c>
      <c r="K55" s="40">
        <f t="shared" ref="K55" si="68">J55+K56</f>
        <v>0.56742844822510052</v>
      </c>
      <c r="L55" s="40">
        <f t="shared" ref="L55" si="69">K55+L56</f>
        <v>0.59742844822510055</v>
      </c>
      <c r="M55" s="40">
        <f t="shared" ref="M55" si="70">L55+M56</f>
        <v>0.62742844822510058</v>
      </c>
      <c r="N55" s="40">
        <f t="shared" ref="N55" si="71">M55+N56</f>
        <v>0.6574284482251006</v>
      </c>
      <c r="O55" s="40">
        <f t="shared" ref="O55" si="72">N55+O56</f>
        <v>0.68742844822510063</v>
      </c>
      <c r="P55" s="40">
        <f t="shared" ref="P55" si="73">O55+P56</f>
        <v>0.71742844822510066</v>
      </c>
      <c r="Q55" s="40">
        <f t="shared" ref="Q55" si="74">P55+Q56</f>
        <v>0.74742844822510068</v>
      </c>
      <c r="R55" s="40">
        <f t="shared" ref="R55" si="75">Q55+R56</f>
        <v>0.7674284482251007</v>
      </c>
      <c r="S55" s="40">
        <f t="shared" ref="S55" si="76">R55+S56</f>
        <v>0.78742844822510072</v>
      </c>
      <c r="T55" s="40">
        <f t="shared" ref="T55" si="77">S55+T56</f>
        <v>0.80742844822510074</v>
      </c>
    </row>
    <row r="56" spans="1:22" outlineLevel="4" x14ac:dyDescent="0.2">
      <c r="C56" s="3" t="s">
        <v>150</v>
      </c>
      <c r="E56" s="1"/>
      <c r="F56" s="40">
        <f>F55-E55</f>
        <v>-7.4114021614883896E-3</v>
      </c>
      <c r="G56" s="40">
        <f t="shared" ref="G56:H56" si="78">G55-F55</f>
        <v>1.0507593195660858E-2</v>
      </c>
      <c r="H56" s="40">
        <f t="shared" si="78"/>
        <v>9.2861149729415671E-2</v>
      </c>
      <c r="I56" s="40">
        <f>I55-H55</f>
        <v>-5.8645361665312645E-3</v>
      </c>
      <c r="J56" s="68">
        <v>0.03</v>
      </c>
      <c r="K56" s="68">
        <v>0.03</v>
      </c>
      <c r="L56" s="68">
        <v>0.03</v>
      </c>
      <c r="M56" s="68">
        <v>0.03</v>
      </c>
      <c r="N56" s="68">
        <v>0.03</v>
      </c>
      <c r="O56" s="68">
        <v>0.03</v>
      </c>
      <c r="P56" s="68">
        <v>0.03</v>
      </c>
      <c r="Q56" s="68">
        <v>0.03</v>
      </c>
      <c r="R56" s="68">
        <v>0.02</v>
      </c>
      <c r="S56" s="68">
        <v>0.02</v>
      </c>
      <c r="T56" s="68">
        <v>0.02</v>
      </c>
    </row>
    <row r="57" spans="1:22" outlineLevel="4" x14ac:dyDescent="0.2">
      <c r="C57" s="2"/>
      <c r="E57" s="1"/>
      <c r="F57" s="1"/>
      <c r="G57" s="1"/>
      <c r="H57" s="1"/>
      <c r="I57" s="1"/>
      <c r="J57" s="1"/>
      <c r="K57" s="1"/>
      <c r="L57" s="1"/>
      <c r="M57" s="1"/>
      <c r="N57" s="1"/>
      <c r="O57" s="1"/>
      <c r="P57" s="1"/>
      <c r="Q57" s="1"/>
      <c r="R57" s="1"/>
      <c r="S57" s="1"/>
      <c r="T57" s="1"/>
    </row>
    <row r="58" spans="1:22" outlineLevel="4" x14ac:dyDescent="0.2">
      <c r="C58" s="2"/>
      <c r="E58" s="1"/>
      <c r="F58" s="1"/>
      <c r="G58" s="1"/>
      <c r="H58" s="1"/>
      <c r="I58" s="1"/>
      <c r="J58" s="1"/>
      <c r="K58" s="1"/>
      <c r="L58" s="1"/>
      <c r="M58" s="1"/>
      <c r="N58" s="1"/>
      <c r="O58" s="1"/>
      <c r="P58" s="1"/>
      <c r="Q58" s="1"/>
      <c r="R58" s="1"/>
      <c r="S58" s="1"/>
      <c r="T58" s="1"/>
    </row>
    <row r="59" spans="1:22" outlineLevel="4" x14ac:dyDescent="0.2">
      <c r="C59" s="37" t="s">
        <v>25</v>
      </c>
      <c r="E59" s="1"/>
      <c r="F59" s="1"/>
      <c r="G59" s="1"/>
      <c r="H59" s="1"/>
      <c r="I59" s="1"/>
      <c r="J59" s="1"/>
      <c r="K59" s="1"/>
      <c r="L59" s="1"/>
      <c r="M59" s="1"/>
      <c r="N59" s="1"/>
      <c r="O59" s="1"/>
      <c r="P59" s="1"/>
      <c r="Q59" s="1"/>
      <c r="R59" s="1"/>
      <c r="S59" s="1"/>
      <c r="T59" s="1"/>
    </row>
    <row r="60" spans="1:22" outlineLevel="4" x14ac:dyDescent="0.2">
      <c r="E60" s="1"/>
      <c r="F60" s="1"/>
      <c r="G60" s="1"/>
      <c r="H60" s="1"/>
      <c r="I60" s="1"/>
      <c r="J60" s="1"/>
      <c r="K60" s="1"/>
      <c r="L60" s="1"/>
      <c r="M60" s="1"/>
      <c r="N60" s="1"/>
      <c r="O60" s="1"/>
      <c r="P60" s="1"/>
      <c r="Q60" s="1"/>
      <c r="R60" s="1"/>
      <c r="S60" s="1"/>
      <c r="T60" s="1"/>
    </row>
    <row r="61" spans="1:22" outlineLevel="4" x14ac:dyDescent="0.2">
      <c r="C61" s="59" t="s">
        <v>131</v>
      </c>
      <c r="D61" s="72" t="s">
        <v>134</v>
      </c>
      <c r="E61" s="1"/>
      <c r="F61" s="1"/>
      <c r="G61" s="1"/>
      <c r="H61" s="1"/>
      <c r="I61" s="1"/>
      <c r="J61" s="1"/>
      <c r="K61" s="1"/>
      <c r="L61" s="1"/>
      <c r="M61" s="1"/>
      <c r="N61" s="1"/>
      <c r="O61" s="1"/>
      <c r="P61" s="1"/>
      <c r="Q61" s="1"/>
      <c r="R61" s="1"/>
      <c r="S61" s="1"/>
      <c r="T61" s="1"/>
    </row>
    <row r="62" spans="1:22" s="21" customFormat="1" outlineLevel="4" x14ac:dyDescent="0.2">
      <c r="A62" s="1"/>
      <c r="B62" s="1"/>
      <c r="C62" s="61" t="s">
        <v>118</v>
      </c>
      <c r="D62" s="43"/>
      <c r="E62" s="70">
        <f>Inputs!E8/1000</f>
        <v>25875.719000000001</v>
      </c>
      <c r="F62" s="70">
        <f>Inputs!F8/1000</f>
        <v>26183.252</v>
      </c>
      <c r="G62" s="70">
        <f>Inputs!G8/1000</f>
        <v>24752.362000000001</v>
      </c>
      <c r="H62" s="70">
        <f>Inputs!H8/1000</f>
        <v>23910.607</v>
      </c>
      <c r="I62" s="70">
        <f>Inputs!I8/1000</f>
        <v>23009.719000000001</v>
      </c>
      <c r="J62" s="71">
        <f>J$66*J70</f>
        <v>23081.961417933344</v>
      </c>
      <c r="K62" s="71">
        <f t="shared" ref="K62:O62" si="79">K$66*K70</f>
        <v>23148.594784722303</v>
      </c>
      <c r="L62" s="71">
        <f t="shared" si="79"/>
        <v>23209.728066073971</v>
      </c>
      <c r="M62" s="71">
        <f t="shared" si="79"/>
        <v>23265.468652468171</v>
      </c>
      <c r="N62" s="71">
        <f t="shared" si="79"/>
        <v>23315.922378913332</v>
      </c>
      <c r="O62" s="71">
        <f t="shared" si="79"/>
        <v>23361.193544474881</v>
      </c>
      <c r="P62" s="71">
        <f t="shared" ref="P62:T62" si="80">P$66*P70</f>
        <v>23401.384931578588</v>
      </c>
      <c r="Q62" s="71">
        <f t="shared" si="80"/>
        <v>23436.597825091409</v>
      </c>
      <c r="R62" s="71">
        <f t="shared" si="80"/>
        <v>23466.932031182092</v>
      </c>
      <c r="S62" s="71">
        <f t="shared" si="80"/>
        <v>23492.485895964135</v>
      </c>
      <c r="T62" s="71">
        <f t="shared" si="80"/>
        <v>23513.356323923294</v>
      </c>
    </row>
    <row r="63" spans="1:22" s="21" customFormat="1" outlineLevel="4" x14ac:dyDescent="0.2">
      <c r="A63" s="1"/>
      <c r="B63" s="1"/>
      <c r="C63" s="61" t="s">
        <v>136</v>
      </c>
      <c r="D63" s="43"/>
      <c r="E63" s="71">
        <f t="shared" ref="E63:G63" si="81">E$66*E71</f>
        <v>18943.777918200409</v>
      </c>
      <c r="F63" s="71">
        <f t="shared" si="81"/>
        <v>18904.09065560166</v>
      </c>
      <c r="G63" s="71">
        <f t="shared" si="81"/>
        <v>15366.888785854617</v>
      </c>
      <c r="H63" s="71">
        <f t="shared" ref="H63:I65" si="82">H$66*H71</f>
        <v>15907.264532224533</v>
      </c>
      <c r="I63" s="71">
        <f t="shared" si="82"/>
        <v>15794.807110169493</v>
      </c>
      <c r="J63" s="71">
        <f t="shared" ref="J63" si="83">J$66*J71</f>
        <v>15862.70965530313</v>
      </c>
      <c r="K63" s="71">
        <f t="shared" ref="K63:O63" si="84">K$66*K71</f>
        <v>15927.024616838849</v>
      </c>
      <c r="L63" s="71">
        <f t="shared" si="84"/>
        <v>15987.816972553101</v>
      </c>
      <c r="M63" s="71">
        <f t="shared" si="84"/>
        <v>16045.150794805635</v>
      </c>
      <c r="N63" s="71">
        <f t="shared" si="84"/>
        <v>16099.089261630636</v>
      </c>
      <c r="O63" s="71">
        <f t="shared" si="84"/>
        <v>16149.694667702201</v>
      </c>
      <c r="P63" s="71">
        <f t="shared" ref="P63:T63" si="85">P$66*P71</f>
        <v>16197.028435175576</v>
      </c>
      <c r="Q63" s="71">
        <f t="shared" si="85"/>
        <v>16241.151124405451</v>
      </c>
      <c r="R63" s="71">
        <f t="shared" si="85"/>
        <v>16282.122444542641</v>
      </c>
      <c r="S63" s="71">
        <f t="shared" si="85"/>
        <v>16320.001264010485</v>
      </c>
      <c r="T63" s="71">
        <f t="shared" si="85"/>
        <v>16354.845620862203</v>
      </c>
    </row>
    <row r="64" spans="1:22" s="21" customFormat="1" outlineLevel="4" x14ac:dyDescent="0.2">
      <c r="A64" s="1"/>
      <c r="B64" s="1"/>
      <c r="C64" s="61" t="s">
        <v>133</v>
      </c>
      <c r="D64" s="43"/>
      <c r="E64" s="71">
        <f t="shared" ref="E64:G64" si="86">E$66*E72</f>
        <v>8096.0838588957058</v>
      </c>
      <c r="F64" s="71">
        <f t="shared" si="86"/>
        <v>9234.7569294605819</v>
      </c>
      <c r="G64" s="71">
        <f t="shared" si="86"/>
        <v>8510.1441060903762</v>
      </c>
      <c r="H64" s="71">
        <f t="shared" si="82"/>
        <v>9892.3301309771359</v>
      </c>
      <c r="I64" s="71">
        <f t="shared" si="82"/>
        <v>9944.8785508474557</v>
      </c>
      <c r="J64" s="71">
        <f t="shared" ref="J64" si="87">J$66*J72</f>
        <v>10165.885135132345</v>
      </c>
      <c r="K64" s="71">
        <f t="shared" ref="K64:O64" si="88">K$66*K72</f>
        <v>10387.189967503597</v>
      </c>
      <c r="L64" s="71">
        <f t="shared" si="88"/>
        <v>10608.73836496514</v>
      </c>
      <c r="M64" s="71">
        <f t="shared" si="88"/>
        <v>10830.476786493802</v>
      </c>
      <c r="N64" s="71">
        <f t="shared" si="88"/>
        <v>11052.352815978396</v>
      </c>
      <c r="O64" s="71">
        <f t="shared" si="88"/>
        <v>11274.315145377008</v>
      </c>
      <c r="P64" s="71">
        <f t="shared" ref="P64:T64" si="89">P$66*P72</f>
        <v>11496.313558089918</v>
      </c>
      <c r="Q64" s="71">
        <f t="shared" si="89"/>
        <v>11718.298912545704</v>
      </c>
      <c r="R64" s="71">
        <f t="shared" si="89"/>
        <v>11940.223125997936</v>
      </c>
      <c r="S64" s="71">
        <f t="shared" si="89"/>
        <v>12162.039158530106</v>
      </c>
      <c r="T64" s="71">
        <f t="shared" si="89"/>
        <v>12383.700997266269</v>
      </c>
    </row>
    <row r="65" spans="1:22" s="21" customFormat="1" outlineLevel="4" x14ac:dyDescent="0.2">
      <c r="A65" s="1"/>
      <c r="B65" s="1"/>
      <c r="C65" s="61" t="s">
        <v>27</v>
      </c>
      <c r="D65" s="43"/>
      <c r="E65" s="71">
        <f t="shared" ref="E65:G65" si="90">E$66*E73</f>
        <v>0</v>
      </c>
      <c r="F65" s="71">
        <f t="shared" si="90"/>
        <v>0</v>
      </c>
      <c r="G65" s="71">
        <f t="shared" si="90"/>
        <v>0</v>
      </c>
      <c r="H65" s="71">
        <f t="shared" si="82"/>
        <v>0</v>
      </c>
      <c r="I65" s="71">
        <f t="shared" si="82"/>
        <v>0</v>
      </c>
      <c r="J65" s="71">
        <f>J66-SUM(J62:J64)</f>
        <v>0</v>
      </c>
      <c r="K65" s="71">
        <f t="shared" ref="K65:O65" si="91">K66-SUM(K62:K64)</f>
        <v>0</v>
      </c>
      <c r="L65" s="71">
        <f t="shared" si="91"/>
        <v>0</v>
      </c>
      <c r="M65" s="71">
        <f t="shared" si="91"/>
        <v>0</v>
      </c>
      <c r="N65" s="71">
        <f t="shared" si="91"/>
        <v>0</v>
      </c>
      <c r="O65" s="71">
        <f t="shared" si="91"/>
        <v>0</v>
      </c>
      <c r="P65" s="71">
        <f t="shared" ref="P65:T65" si="92">P66-SUM(P62:P64)</f>
        <v>0</v>
      </c>
      <c r="Q65" s="71">
        <f t="shared" si="92"/>
        <v>0</v>
      </c>
      <c r="R65" s="71">
        <f t="shared" si="92"/>
        <v>0</v>
      </c>
      <c r="S65" s="71">
        <f t="shared" si="92"/>
        <v>0</v>
      </c>
      <c r="T65" s="71">
        <f t="shared" si="92"/>
        <v>0</v>
      </c>
    </row>
    <row r="66" spans="1:22" s="21" customFormat="1" outlineLevel="4" x14ac:dyDescent="0.2">
      <c r="A66" s="1"/>
      <c r="B66" s="1"/>
      <c r="C66" s="63" t="s">
        <v>28</v>
      </c>
      <c r="D66" s="45"/>
      <c r="E66" s="81">
        <f>E62/E70</f>
        <v>52915.580777096118</v>
      </c>
      <c r="F66" s="81">
        <f t="shared" ref="F66:G66" si="93">F62/F70</f>
        <v>54322.099585062242</v>
      </c>
      <c r="G66" s="81">
        <f t="shared" si="93"/>
        <v>48629.39489194499</v>
      </c>
      <c r="H66" s="81">
        <f>H62/H70</f>
        <v>49710.201663201668</v>
      </c>
      <c r="I66" s="81">
        <f>I62/I70</f>
        <v>48749.404661016953</v>
      </c>
      <c r="J66" s="81">
        <f t="shared" ref="J66:O66" si="94">J44*J48</f>
        <v>49110.55620836882</v>
      </c>
      <c r="K66" s="81">
        <f t="shared" si="94"/>
        <v>49462.809369064751</v>
      </c>
      <c r="L66" s="81">
        <f t="shared" si="94"/>
        <v>49806.283403592213</v>
      </c>
      <c r="M66" s="81">
        <f t="shared" si="94"/>
        <v>50141.09623376761</v>
      </c>
      <c r="N66" s="81">
        <f t="shared" si="94"/>
        <v>50467.364456522366</v>
      </c>
      <c r="O66" s="81">
        <f t="shared" si="94"/>
        <v>50785.203357554092</v>
      </c>
      <c r="P66" s="81">
        <f t="shared" ref="P66:S66" si="95">P44*P48</f>
        <v>51094.726924844086</v>
      </c>
      <c r="Q66" s="81">
        <f t="shared" si="95"/>
        <v>51396.047862042564</v>
      </c>
      <c r="R66" s="81">
        <f t="shared" si="95"/>
        <v>51689.277601722672</v>
      </c>
      <c r="S66" s="81">
        <f t="shared" si="95"/>
        <v>51974.52631850473</v>
      </c>
      <c r="T66" s="81">
        <f>T44*T48</f>
        <v>52251.902942051769</v>
      </c>
      <c r="V66" s="21" t="s">
        <v>315</v>
      </c>
    </row>
    <row r="67" spans="1:22" s="21" customFormat="1" outlineLevel="4" x14ac:dyDescent="0.2">
      <c r="A67" s="1"/>
      <c r="B67" s="1"/>
      <c r="C67" s="84" t="s">
        <v>148</v>
      </c>
      <c r="D67" s="44"/>
      <c r="E67" s="82"/>
      <c r="F67" s="82"/>
      <c r="G67" s="82"/>
      <c r="H67" s="83"/>
      <c r="I67" s="85">
        <f>IFERROR(I66/H66-1,"")</f>
        <v>-1.9327964281745214E-2</v>
      </c>
      <c r="J67" s="85">
        <f t="shared" ref="J67:O67" si="96">IFERROR(J66/I66-1,"")</f>
        <v>7.4083273398550809E-3</v>
      </c>
      <c r="K67" s="85">
        <f t="shared" si="96"/>
        <v>7.1726567135865782E-3</v>
      </c>
      <c r="L67" s="85">
        <f t="shared" si="96"/>
        <v>6.9440866563936776E-3</v>
      </c>
      <c r="M67" s="85">
        <f t="shared" si="96"/>
        <v>6.7223010290153873E-3</v>
      </c>
      <c r="N67" s="85">
        <f t="shared" si="96"/>
        <v>6.5070021850666127E-3</v>
      </c>
      <c r="O67" s="85">
        <f t="shared" si="96"/>
        <v>6.2979096383275479E-3</v>
      </c>
      <c r="P67" s="85">
        <f t="shared" ref="P67" si="97">IFERROR(P66/O66-1,"")</f>
        <v>6.094758843649517E-3</v>
      </c>
      <c r="Q67" s="85">
        <f t="shared" ref="Q67" si="98">IFERROR(Q66/P66-1,"")</f>
        <v>5.8973000803330677E-3</v>
      </c>
      <c r="R67" s="85">
        <f t="shared" ref="R67" si="99">IFERROR(R66/Q66-1,"")</f>
        <v>5.7052974280666913E-3</v>
      </c>
      <c r="S67" s="85">
        <f t="shared" ref="S67" si="100">IFERROR(S66/R66-1,"")</f>
        <v>5.5185278266018933E-3</v>
      </c>
      <c r="T67" s="85">
        <f t="shared" ref="T67" si="101">IFERROR(T66/S66-1,"")</f>
        <v>5.3367802112760376E-3</v>
      </c>
    </row>
    <row r="68" spans="1:22" outlineLevel="4" x14ac:dyDescent="0.2">
      <c r="C68" s="59"/>
      <c r="E68" s="1"/>
      <c r="F68" s="1"/>
      <c r="G68" s="1"/>
      <c r="H68" s="1"/>
      <c r="I68" s="1"/>
      <c r="J68" s="1"/>
      <c r="K68" s="1"/>
      <c r="L68" s="1"/>
      <c r="M68" s="1"/>
      <c r="N68" s="1"/>
      <c r="O68" s="1"/>
      <c r="P68" s="1"/>
      <c r="Q68" s="1"/>
      <c r="R68" s="1"/>
      <c r="S68" s="1"/>
      <c r="T68" s="1"/>
    </row>
    <row r="69" spans="1:22" outlineLevel="4" x14ac:dyDescent="0.2">
      <c r="C69" s="59" t="s">
        <v>130</v>
      </c>
      <c r="D69" s="43" t="s">
        <v>135</v>
      </c>
      <c r="E69" s="1"/>
      <c r="F69" s="1"/>
      <c r="G69" s="1"/>
      <c r="H69" s="1"/>
      <c r="I69" s="1"/>
      <c r="J69" s="1"/>
      <c r="K69" s="1"/>
      <c r="L69" s="1"/>
      <c r="M69" s="1"/>
      <c r="N69" s="1"/>
      <c r="O69" s="1"/>
      <c r="P69" s="1"/>
      <c r="Q69" s="1"/>
      <c r="R69" s="1"/>
      <c r="S69" s="1"/>
      <c r="T69" s="1"/>
    </row>
    <row r="70" spans="1:22" outlineLevel="4" x14ac:dyDescent="0.2">
      <c r="C70" s="61" t="s">
        <v>118</v>
      </c>
      <c r="E70" s="41">
        <v>0.48899999999999999</v>
      </c>
      <c r="F70" s="41">
        <v>0.48199999999999998</v>
      </c>
      <c r="G70" s="41">
        <v>0.50900000000000001</v>
      </c>
      <c r="H70" s="41">
        <v>0.48099999999999998</v>
      </c>
      <c r="I70" s="41">
        <v>0.47199999999999998</v>
      </c>
      <c r="J70" s="51">
        <f>I70+J77</f>
        <v>0.47</v>
      </c>
      <c r="K70" s="51">
        <f t="shared" ref="K70:O70" si="102">J70+K77</f>
        <v>0.46799999999999997</v>
      </c>
      <c r="L70" s="51">
        <f t="shared" si="102"/>
        <v>0.46599999999999997</v>
      </c>
      <c r="M70" s="51">
        <f t="shared" si="102"/>
        <v>0.46399999999999997</v>
      </c>
      <c r="N70" s="51">
        <f t="shared" si="102"/>
        <v>0.46199999999999997</v>
      </c>
      <c r="O70" s="51">
        <f t="shared" si="102"/>
        <v>0.45999999999999996</v>
      </c>
      <c r="P70" s="51">
        <f t="shared" ref="P70:P72" si="103">O70+P77</f>
        <v>0.45799999999999996</v>
      </c>
      <c r="Q70" s="51">
        <f t="shared" ref="Q70:Q72" si="104">P70+Q77</f>
        <v>0.45599999999999996</v>
      </c>
      <c r="R70" s="51">
        <f t="shared" ref="R70:R72" si="105">Q70+R77</f>
        <v>0.45399999999999996</v>
      </c>
      <c r="S70" s="51">
        <f t="shared" ref="S70:S72" si="106">R70+S77</f>
        <v>0.45199999999999996</v>
      </c>
      <c r="T70" s="51">
        <f t="shared" ref="T70:T72" si="107">S70+T77</f>
        <v>0.44999999999999996</v>
      </c>
    </row>
    <row r="71" spans="1:22" outlineLevel="4" x14ac:dyDescent="0.2">
      <c r="C71" s="61" t="s">
        <v>136</v>
      </c>
      <c r="E71" s="41">
        <v>0.35799999999999998</v>
      </c>
      <c r="F71" s="41">
        <v>0.34799999999999998</v>
      </c>
      <c r="G71" s="41">
        <v>0.316</v>
      </c>
      <c r="H71" s="41">
        <v>0.32</v>
      </c>
      <c r="I71" s="41">
        <v>0.32400000000000001</v>
      </c>
      <c r="J71" s="51">
        <f t="shared" ref="J71:O72" si="108">I71+J78</f>
        <v>0.32300000000000001</v>
      </c>
      <c r="K71" s="51">
        <f t="shared" si="108"/>
        <v>0.32200000000000001</v>
      </c>
      <c r="L71" s="51">
        <f t="shared" si="108"/>
        <v>0.32100000000000001</v>
      </c>
      <c r="M71" s="51">
        <f t="shared" si="108"/>
        <v>0.32</v>
      </c>
      <c r="N71" s="51">
        <f t="shared" si="108"/>
        <v>0.31900000000000001</v>
      </c>
      <c r="O71" s="51">
        <f t="shared" si="108"/>
        <v>0.318</v>
      </c>
      <c r="P71" s="51">
        <f t="shared" si="103"/>
        <v>0.317</v>
      </c>
      <c r="Q71" s="51">
        <f t="shared" si="104"/>
        <v>0.316</v>
      </c>
      <c r="R71" s="51">
        <f t="shared" si="105"/>
        <v>0.315</v>
      </c>
      <c r="S71" s="51">
        <f t="shared" si="106"/>
        <v>0.314</v>
      </c>
      <c r="T71" s="51">
        <f t="shared" si="107"/>
        <v>0.313</v>
      </c>
    </row>
    <row r="72" spans="1:22" outlineLevel="4" x14ac:dyDescent="0.2">
      <c r="C72" s="61" t="s">
        <v>133</v>
      </c>
      <c r="E72" s="41">
        <v>0.153</v>
      </c>
      <c r="F72" s="41">
        <v>0.17</v>
      </c>
      <c r="G72" s="51">
        <f>1-SUM(G70:G71)</f>
        <v>0.17500000000000004</v>
      </c>
      <c r="H72" s="51">
        <f t="shared" ref="H72:I72" si="109">1-SUM(H70:H71)</f>
        <v>0.19900000000000007</v>
      </c>
      <c r="I72" s="51">
        <f t="shared" si="109"/>
        <v>0.20399999999999996</v>
      </c>
      <c r="J72" s="51">
        <f t="shared" si="108"/>
        <v>0.20699999999999996</v>
      </c>
      <c r="K72" s="51">
        <f t="shared" si="108"/>
        <v>0.20999999999999996</v>
      </c>
      <c r="L72" s="51">
        <f t="shared" si="108"/>
        <v>0.21299999999999997</v>
      </c>
      <c r="M72" s="51">
        <f t="shared" si="108"/>
        <v>0.21599999999999997</v>
      </c>
      <c r="N72" s="51">
        <f t="shared" si="108"/>
        <v>0.21899999999999997</v>
      </c>
      <c r="O72" s="51">
        <f t="shared" si="108"/>
        <v>0.22199999999999998</v>
      </c>
      <c r="P72" s="51">
        <f t="shared" si="103"/>
        <v>0.22499999999999998</v>
      </c>
      <c r="Q72" s="51">
        <f t="shared" si="104"/>
        <v>0.22799999999999998</v>
      </c>
      <c r="R72" s="51">
        <f t="shared" si="105"/>
        <v>0.23099999999999998</v>
      </c>
      <c r="S72" s="51">
        <f t="shared" si="106"/>
        <v>0.23399999999999999</v>
      </c>
      <c r="T72" s="51">
        <f t="shared" si="107"/>
        <v>0.23699999999999999</v>
      </c>
    </row>
    <row r="73" spans="1:22" outlineLevel="4" x14ac:dyDescent="0.2">
      <c r="C73" s="61" t="s">
        <v>27</v>
      </c>
      <c r="E73" s="51">
        <f>1-SUM(E70:E72)</f>
        <v>0</v>
      </c>
      <c r="F73" s="51">
        <f t="shared" ref="F73:H73" si="110">1-SUM(F70:F72)</f>
        <v>0</v>
      </c>
      <c r="G73" s="51">
        <f t="shared" si="110"/>
        <v>0</v>
      </c>
      <c r="H73" s="51">
        <f t="shared" si="110"/>
        <v>0</v>
      </c>
      <c r="I73" s="51">
        <f>1-SUM(I70:I72)</f>
        <v>0</v>
      </c>
      <c r="J73" s="51">
        <f t="shared" ref="J73:O73" si="111">1-SUM(J70:J72)</f>
        <v>0</v>
      </c>
      <c r="K73" s="51">
        <f t="shared" si="111"/>
        <v>0</v>
      </c>
      <c r="L73" s="51">
        <f t="shared" si="111"/>
        <v>0</v>
      </c>
      <c r="M73" s="51">
        <f t="shared" si="111"/>
        <v>0</v>
      </c>
      <c r="N73" s="51">
        <f t="shared" si="111"/>
        <v>0</v>
      </c>
      <c r="O73" s="51">
        <f t="shared" si="111"/>
        <v>0</v>
      </c>
      <c r="P73" s="51">
        <f t="shared" ref="P73:T73" si="112">1-SUM(P70:P72)</f>
        <v>0</v>
      </c>
      <c r="Q73" s="51">
        <f t="shared" si="112"/>
        <v>0</v>
      </c>
      <c r="R73" s="51">
        <f t="shared" si="112"/>
        <v>0</v>
      </c>
      <c r="S73" s="51">
        <f t="shared" si="112"/>
        <v>0</v>
      </c>
      <c r="T73" s="51">
        <f t="shared" si="112"/>
        <v>0</v>
      </c>
    </row>
    <row r="74" spans="1:22" outlineLevel="4" x14ac:dyDescent="0.2">
      <c r="C74" s="63" t="s">
        <v>28</v>
      </c>
      <c r="D74" s="47"/>
      <c r="E74" s="42">
        <f>SUM(E70:E73)</f>
        <v>1</v>
      </c>
      <c r="F74" s="42">
        <f t="shared" ref="F74:H74" si="113">SUM(F70:F73)</f>
        <v>1</v>
      </c>
      <c r="G74" s="42">
        <f t="shared" si="113"/>
        <v>1</v>
      </c>
      <c r="H74" s="42">
        <f t="shared" si="113"/>
        <v>1</v>
      </c>
      <c r="I74" s="42">
        <f>SUM(I70:I73)</f>
        <v>1</v>
      </c>
      <c r="J74" s="42">
        <f>SUM(J70:J73)</f>
        <v>0.99999999999999989</v>
      </c>
      <c r="K74" s="42">
        <f t="shared" ref="K74:O74" si="114">SUM(K70:K73)</f>
        <v>1</v>
      </c>
      <c r="L74" s="42">
        <f t="shared" si="114"/>
        <v>0.99999999999999989</v>
      </c>
      <c r="M74" s="42">
        <f t="shared" si="114"/>
        <v>1</v>
      </c>
      <c r="N74" s="42">
        <f t="shared" si="114"/>
        <v>0.99999999999999989</v>
      </c>
      <c r="O74" s="42">
        <f t="shared" si="114"/>
        <v>1</v>
      </c>
      <c r="P74" s="42">
        <f t="shared" ref="P74:T74" si="115">SUM(P70:P73)</f>
        <v>0.99999999999999989</v>
      </c>
      <c r="Q74" s="42">
        <f t="shared" si="115"/>
        <v>1</v>
      </c>
      <c r="R74" s="42">
        <f t="shared" si="115"/>
        <v>0.99999999999999989</v>
      </c>
      <c r="S74" s="42">
        <f t="shared" si="115"/>
        <v>1</v>
      </c>
      <c r="T74" s="42">
        <f t="shared" si="115"/>
        <v>0.99999999999999989</v>
      </c>
    </row>
    <row r="75" spans="1:22" outlineLevel="4" x14ac:dyDescent="0.2">
      <c r="C75" s="61"/>
      <c r="E75" s="1"/>
      <c r="F75" s="1"/>
      <c r="G75" s="1"/>
      <c r="H75" s="1"/>
      <c r="I75" s="1"/>
      <c r="J75" s="1"/>
      <c r="K75" s="1"/>
      <c r="L75" s="1"/>
      <c r="M75" s="1"/>
      <c r="N75" s="1"/>
      <c r="O75" s="1"/>
      <c r="P75" s="1"/>
      <c r="Q75" s="1"/>
      <c r="R75" s="1"/>
      <c r="S75" s="1"/>
      <c r="T75" s="1"/>
    </row>
    <row r="76" spans="1:22" outlineLevel="4" x14ac:dyDescent="0.2">
      <c r="C76" s="59" t="s">
        <v>146</v>
      </c>
      <c r="E76" s="1"/>
      <c r="F76" s="1"/>
      <c r="G76" s="1"/>
      <c r="H76" s="1"/>
      <c r="I76" s="1"/>
      <c r="J76" s="1"/>
      <c r="K76" s="1"/>
      <c r="L76" s="1"/>
      <c r="M76" s="1"/>
      <c r="N76" s="1"/>
      <c r="O76" s="1"/>
      <c r="P76" s="1"/>
      <c r="Q76" s="1"/>
      <c r="R76" s="1"/>
      <c r="S76" s="1"/>
      <c r="T76" s="1"/>
    </row>
    <row r="77" spans="1:22" outlineLevel="4" x14ac:dyDescent="0.2">
      <c r="C77" s="61" t="s">
        <v>118</v>
      </c>
      <c r="E77" s="1"/>
      <c r="F77" s="40">
        <f>F70-E70</f>
        <v>-7.0000000000000062E-3</v>
      </c>
      <c r="G77" s="40">
        <f t="shared" ref="G77:I77" si="116">G70-F70</f>
        <v>2.7000000000000024E-2</v>
      </c>
      <c r="H77" s="40">
        <f t="shared" si="116"/>
        <v>-2.8000000000000025E-2</v>
      </c>
      <c r="I77" s="40">
        <f t="shared" si="116"/>
        <v>-9.000000000000008E-3</v>
      </c>
      <c r="J77" s="73">
        <v>-2E-3</v>
      </c>
      <c r="K77" s="73">
        <v>-2E-3</v>
      </c>
      <c r="L77" s="73">
        <v>-2E-3</v>
      </c>
      <c r="M77" s="73">
        <v>-2E-3</v>
      </c>
      <c r="N77" s="73">
        <v>-2E-3</v>
      </c>
      <c r="O77" s="73">
        <v>-2E-3</v>
      </c>
      <c r="P77" s="73">
        <v>-2E-3</v>
      </c>
      <c r="Q77" s="73">
        <v>-2E-3</v>
      </c>
      <c r="R77" s="73">
        <v>-2E-3</v>
      </c>
      <c r="S77" s="73">
        <v>-2E-3</v>
      </c>
      <c r="T77" s="73">
        <v>-2E-3</v>
      </c>
    </row>
    <row r="78" spans="1:22" outlineLevel="4" x14ac:dyDescent="0.2">
      <c r="C78" s="61" t="s">
        <v>136</v>
      </c>
      <c r="E78" s="1"/>
      <c r="F78" s="40">
        <f t="shared" ref="F78:I80" si="117">F71-E71</f>
        <v>-1.0000000000000009E-2</v>
      </c>
      <c r="G78" s="40">
        <f t="shared" si="117"/>
        <v>-3.1999999999999973E-2</v>
      </c>
      <c r="H78" s="40">
        <f t="shared" si="117"/>
        <v>4.0000000000000036E-3</v>
      </c>
      <c r="I78" s="40">
        <f t="shared" si="117"/>
        <v>4.0000000000000036E-3</v>
      </c>
      <c r="J78" s="73">
        <v>-1E-3</v>
      </c>
      <c r="K78" s="73">
        <v>-1E-3</v>
      </c>
      <c r="L78" s="73">
        <v>-1E-3</v>
      </c>
      <c r="M78" s="73">
        <v>-1E-3</v>
      </c>
      <c r="N78" s="73">
        <v>-1E-3</v>
      </c>
      <c r="O78" s="73">
        <v>-1E-3</v>
      </c>
      <c r="P78" s="73">
        <v>-1E-3</v>
      </c>
      <c r="Q78" s="73">
        <v>-1E-3</v>
      </c>
      <c r="R78" s="73">
        <v>-1E-3</v>
      </c>
      <c r="S78" s="73">
        <v>-1E-3</v>
      </c>
      <c r="T78" s="73">
        <v>-1E-3</v>
      </c>
    </row>
    <row r="79" spans="1:22" outlineLevel="4" x14ac:dyDescent="0.2">
      <c r="C79" s="61" t="s">
        <v>133</v>
      </c>
      <c r="E79" s="1"/>
      <c r="F79" s="40">
        <f t="shared" si="117"/>
        <v>1.7000000000000015E-2</v>
      </c>
      <c r="G79" s="40">
        <f t="shared" si="117"/>
        <v>5.0000000000000322E-3</v>
      </c>
      <c r="H79" s="40">
        <f t="shared" si="117"/>
        <v>2.4000000000000021E-2</v>
      </c>
      <c r="I79" s="40">
        <f t="shared" si="117"/>
        <v>4.9999999999998934E-3</v>
      </c>
      <c r="J79" s="73">
        <f t="shared" ref="J79:T79" si="118">-J77-J78</f>
        <v>3.0000000000000001E-3</v>
      </c>
      <c r="K79" s="73">
        <f t="shared" si="118"/>
        <v>3.0000000000000001E-3</v>
      </c>
      <c r="L79" s="73">
        <f t="shared" si="118"/>
        <v>3.0000000000000001E-3</v>
      </c>
      <c r="M79" s="73">
        <f t="shared" si="118"/>
        <v>3.0000000000000001E-3</v>
      </c>
      <c r="N79" s="73">
        <f t="shared" si="118"/>
        <v>3.0000000000000001E-3</v>
      </c>
      <c r="O79" s="73">
        <f t="shared" si="118"/>
        <v>3.0000000000000001E-3</v>
      </c>
      <c r="P79" s="73">
        <f t="shared" si="118"/>
        <v>3.0000000000000001E-3</v>
      </c>
      <c r="Q79" s="73">
        <f t="shared" si="118"/>
        <v>3.0000000000000001E-3</v>
      </c>
      <c r="R79" s="73">
        <f t="shared" si="118"/>
        <v>3.0000000000000001E-3</v>
      </c>
      <c r="S79" s="73">
        <f t="shared" si="118"/>
        <v>3.0000000000000001E-3</v>
      </c>
      <c r="T79" s="73">
        <f t="shared" si="118"/>
        <v>3.0000000000000001E-3</v>
      </c>
    </row>
    <row r="80" spans="1:22" outlineLevel="4" x14ac:dyDescent="0.2">
      <c r="C80" s="61" t="s">
        <v>27</v>
      </c>
      <c r="E80" s="1"/>
      <c r="F80" s="40">
        <f t="shared" si="117"/>
        <v>0</v>
      </c>
      <c r="G80" s="40">
        <f t="shared" si="117"/>
        <v>0</v>
      </c>
      <c r="H80" s="40">
        <f t="shared" si="117"/>
        <v>0</v>
      </c>
      <c r="I80" s="40">
        <f t="shared" si="117"/>
        <v>0</v>
      </c>
      <c r="J80" s="51">
        <f>J73-I73</f>
        <v>0</v>
      </c>
      <c r="K80" s="51">
        <f t="shared" ref="K80:O80" si="119">K73-J73</f>
        <v>0</v>
      </c>
      <c r="L80" s="51">
        <f t="shared" si="119"/>
        <v>0</v>
      </c>
      <c r="M80" s="51">
        <f t="shared" si="119"/>
        <v>0</v>
      </c>
      <c r="N80" s="51">
        <f t="shared" si="119"/>
        <v>0</v>
      </c>
      <c r="O80" s="51">
        <f t="shared" si="119"/>
        <v>0</v>
      </c>
      <c r="P80" s="51">
        <f t="shared" ref="P80" si="120">P73-O73</f>
        <v>0</v>
      </c>
      <c r="Q80" s="51">
        <f t="shared" ref="Q80" si="121">Q73-P73</f>
        <v>0</v>
      </c>
      <c r="R80" s="51">
        <f t="shared" ref="R80" si="122">R73-Q73</f>
        <v>0</v>
      </c>
      <c r="S80" s="51">
        <f t="shared" ref="S80" si="123">S73-R73</f>
        <v>0</v>
      </c>
      <c r="T80" s="51">
        <f t="shared" ref="T80" si="124">T73-S73</f>
        <v>0</v>
      </c>
    </row>
    <row r="81" spans="3:22" outlineLevel="4" x14ac:dyDescent="0.2">
      <c r="C81" s="61"/>
      <c r="E81" s="1"/>
      <c r="F81" s="1"/>
      <c r="G81" s="1"/>
      <c r="H81" s="1"/>
      <c r="I81" s="1"/>
      <c r="J81" s="1"/>
      <c r="K81" s="1"/>
      <c r="L81" s="1"/>
      <c r="M81" s="1"/>
      <c r="N81" s="1"/>
      <c r="O81" s="1"/>
      <c r="P81" s="1"/>
      <c r="Q81" s="1"/>
      <c r="R81" s="1"/>
      <c r="S81" s="1"/>
      <c r="T81" s="1"/>
    </row>
    <row r="82" spans="3:22" outlineLevel="4" x14ac:dyDescent="0.2">
      <c r="C82" s="59" t="s">
        <v>143</v>
      </c>
      <c r="E82" s="1"/>
      <c r="F82" s="1"/>
      <c r="G82" s="1"/>
      <c r="H82" s="1"/>
      <c r="I82" s="1"/>
      <c r="J82" s="1"/>
      <c r="K82" s="1"/>
      <c r="L82" s="1"/>
      <c r="M82" s="1"/>
      <c r="N82" s="1"/>
      <c r="O82" s="1"/>
      <c r="P82" s="1"/>
      <c r="Q82" s="1"/>
      <c r="R82" s="1"/>
      <c r="S82" s="1"/>
      <c r="T82" s="1"/>
    </row>
    <row r="83" spans="3:22" outlineLevel="4" x14ac:dyDescent="0.2">
      <c r="C83" s="61" t="s">
        <v>118</v>
      </c>
      <c r="E83" s="1"/>
      <c r="F83" s="71">
        <f t="shared" ref="F83:I87" si="125">IFERROR(F62-E62,"")</f>
        <v>307.53299999999945</v>
      </c>
      <c r="G83" s="71">
        <f t="shared" si="125"/>
        <v>-1430.8899999999994</v>
      </c>
      <c r="H83" s="71">
        <f t="shared" si="125"/>
        <v>-841.75500000000102</v>
      </c>
      <c r="I83" s="71">
        <f t="shared" si="125"/>
        <v>-900.88799999999901</v>
      </c>
      <c r="J83" s="71">
        <f t="shared" ref="J83:O83" si="126">IFERROR(J62-I62,"")</f>
        <v>72.242417933342949</v>
      </c>
      <c r="K83" s="71">
        <f t="shared" si="126"/>
        <v>66.633366788959393</v>
      </c>
      <c r="L83" s="71">
        <f t="shared" si="126"/>
        <v>61.133281351667392</v>
      </c>
      <c r="M83" s="71">
        <f t="shared" si="126"/>
        <v>55.740586394200363</v>
      </c>
      <c r="N83" s="71">
        <f t="shared" si="126"/>
        <v>50.45372644516101</v>
      </c>
      <c r="O83" s="71">
        <f t="shared" si="126"/>
        <v>45.271165561549424</v>
      </c>
      <c r="P83" s="71">
        <f t="shared" ref="P83:P87" si="127">IFERROR(P62-O62,"")</f>
        <v>40.191387103706802</v>
      </c>
      <c r="Q83" s="71">
        <f t="shared" ref="Q83:Q87" si="128">IFERROR(Q62-P62,"")</f>
        <v>35.212893512820301</v>
      </c>
      <c r="R83" s="71">
        <f t="shared" ref="R83:R87" si="129">IFERROR(R62-Q62,"")</f>
        <v>30.334206090683438</v>
      </c>
      <c r="S83" s="71">
        <f t="shared" ref="S83:S87" si="130">IFERROR(S62-R62,"")</f>
        <v>25.553864782043092</v>
      </c>
      <c r="T83" s="71">
        <f t="shared" ref="T83:T87" si="131">IFERROR(T62-S62,"")</f>
        <v>20.870427959158405</v>
      </c>
    </row>
    <row r="84" spans="3:22" outlineLevel="4" x14ac:dyDescent="0.2">
      <c r="C84" s="61" t="s">
        <v>136</v>
      </c>
      <c r="E84" s="1"/>
      <c r="F84" s="71">
        <f t="shared" si="125"/>
        <v>-39.68726259874893</v>
      </c>
      <c r="G84" s="71">
        <f t="shared" si="125"/>
        <v>-3537.201869747043</v>
      </c>
      <c r="H84" s="71">
        <f t="shared" si="125"/>
        <v>540.37574636991667</v>
      </c>
      <c r="I84" s="71">
        <f t="shared" si="125"/>
        <v>-112.4574220550403</v>
      </c>
      <c r="J84" s="71">
        <f t="shared" ref="J84:O84" si="132">IFERROR(J63-I63,"")</f>
        <v>67.902545133636522</v>
      </c>
      <c r="K84" s="71">
        <f t="shared" si="132"/>
        <v>64.314961535719704</v>
      </c>
      <c r="L84" s="71">
        <f t="shared" si="132"/>
        <v>60.792355714251244</v>
      </c>
      <c r="M84" s="71">
        <f t="shared" si="132"/>
        <v>57.333822252534446</v>
      </c>
      <c r="N84" s="71">
        <f t="shared" si="132"/>
        <v>53.938466825000432</v>
      </c>
      <c r="O84" s="71">
        <f t="shared" si="132"/>
        <v>50.605406071565085</v>
      </c>
      <c r="P84" s="71">
        <f t="shared" si="127"/>
        <v>47.333767473375701</v>
      </c>
      <c r="Q84" s="71">
        <f t="shared" si="128"/>
        <v>44.122689229874595</v>
      </c>
      <c r="R84" s="71">
        <f t="shared" si="129"/>
        <v>40.97132013719056</v>
      </c>
      <c r="S84" s="71">
        <f t="shared" si="130"/>
        <v>37.878819467843641</v>
      </c>
      <c r="T84" s="71">
        <f t="shared" si="131"/>
        <v>34.844356851717748</v>
      </c>
    </row>
    <row r="85" spans="3:22" outlineLevel="4" x14ac:dyDescent="0.2">
      <c r="C85" s="61" t="s">
        <v>133</v>
      </c>
      <c r="E85" s="1"/>
      <c r="F85" s="71">
        <f t="shared" si="125"/>
        <v>1138.6730705648761</v>
      </c>
      <c r="G85" s="71">
        <f t="shared" si="125"/>
        <v>-724.61282337020566</v>
      </c>
      <c r="H85" s="71">
        <f t="shared" si="125"/>
        <v>1382.1860248867597</v>
      </c>
      <c r="I85" s="71">
        <f t="shared" si="125"/>
        <v>52.548419870319776</v>
      </c>
      <c r="J85" s="71">
        <f t="shared" ref="J85:O85" si="133">IFERROR(J64-I64,"")</f>
        <v>221.00658428488896</v>
      </c>
      <c r="K85" s="71">
        <f t="shared" si="133"/>
        <v>221.3048323712519</v>
      </c>
      <c r="L85" s="71">
        <f t="shared" si="133"/>
        <v>221.54839746154357</v>
      </c>
      <c r="M85" s="71">
        <f t="shared" si="133"/>
        <v>221.738421528662</v>
      </c>
      <c r="N85" s="71">
        <f t="shared" si="133"/>
        <v>221.87602948459426</v>
      </c>
      <c r="O85" s="71">
        <f t="shared" si="133"/>
        <v>221.96232939861147</v>
      </c>
      <c r="P85" s="71">
        <f t="shared" si="127"/>
        <v>221.99841271291007</v>
      </c>
      <c r="Q85" s="71">
        <f t="shared" si="128"/>
        <v>221.98535445578636</v>
      </c>
      <c r="R85" s="71">
        <f t="shared" si="129"/>
        <v>221.92421345223192</v>
      </c>
      <c r="S85" s="71">
        <f t="shared" si="130"/>
        <v>221.81603253216963</v>
      </c>
      <c r="T85" s="71">
        <f t="shared" si="131"/>
        <v>221.66183873616319</v>
      </c>
    </row>
    <row r="86" spans="3:22" outlineLevel="4" x14ac:dyDescent="0.2">
      <c r="C86" s="61" t="s">
        <v>27</v>
      </c>
      <c r="E86" s="1"/>
      <c r="F86" s="71">
        <f t="shared" si="125"/>
        <v>0</v>
      </c>
      <c r="G86" s="71">
        <f t="shared" si="125"/>
        <v>0</v>
      </c>
      <c r="H86" s="71">
        <f t="shared" si="125"/>
        <v>0</v>
      </c>
      <c r="I86" s="71">
        <f t="shared" si="125"/>
        <v>0</v>
      </c>
      <c r="J86" s="71">
        <f t="shared" ref="J86:O87" si="134">IFERROR(J65-I65,"")</f>
        <v>0</v>
      </c>
      <c r="K86" s="71">
        <f t="shared" si="134"/>
        <v>0</v>
      </c>
      <c r="L86" s="71">
        <f t="shared" si="134"/>
        <v>0</v>
      </c>
      <c r="M86" s="71">
        <f t="shared" si="134"/>
        <v>0</v>
      </c>
      <c r="N86" s="71">
        <f t="shared" si="134"/>
        <v>0</v>
      </c>
      <c r="O86" s="71">
        <f t="shared" si="134"/>
        <v>0</v>
      </c>
      <c r="P86" s="71">
        <f t="shared" si="127"/>
        <v>0</v>
      </c>
      <c r="Q86" s="71">
        <f t="shared" si="128"/>
        <v>0</v>
      </c>
      <c r="R86" s="71">
        <f t="shared" si="129"/>
        <v>0</v>
      </c>
      <c r="S86" s="71">
        <f t="shared" si="130"/>
        <v>0</v>
      </c>
      <c r="T86" s="71">
        <f t="shared" si="131"/>
        <v>0</v>
      </c>
    </row>
    <row r="87" spans="3:22" outlineLevel="4" x14ac:dyDescent="0.2">
      <c r="C87" s="63" t="s">
        <v>28</v>
      </c>
      <c r="D87" s="47"/>
      <c r="E87" s="38"/>
      <c r="F87" s="248">
        <f t="shared" si="125"/>
        <v>1406.5188079661239</v>
      </c>
      <c r="G87" s="248">
        <f t="shared" ref="G87:H87" si="135">IFERROR(G66-F66,"")</f>
        <v>-5692.7046931172517</v>
      </c>
      <c r="H87" s="248">
        <f t="shared" si="135"/>
        <v>1080.8067712566772</v>
      </c>
      <c r="I87" s="248">
        <f t="shared" ref="I87" si="136">IFERROR(I66-H66,"")</f>
        <v>-960.79700218471407</v>
      </c>
      <c r="J87" s="248">
        <f t="shared" si="134"/>
        <v>361.15154735186661</v>
      </c>
      <c r="K87" s="248">
        <f t="shared" si="134"/>
        <v>352.253160695931</v>
      </c>
      <c r="L87" s="248">
        <f t="shared" si="134"/>
        <v>343.47403452746221</v>
      </c>
      <c r="M87" s="248">
        <f t="shared" si="134"/>
        <v>334.81283017539681</v>
      </c>
      <c r="N87" s="248">
        <f t="shared" si="134"/>
        <v>326.2682227547557</v>
      </c>
      <c r="O87" s="248">
        <f t="shared" si="134"/>
        <v>317.83890103172598</v>
      </c>
      <c r="P87" s="248">
        <f t="shared" si="127"/>
        <v>309.52356728999439</v>
      </c>
      <c r="Q87" s="248">
        <f t="shared" si="128"/>
        <v>301.32093719847762</v>
      </c>
      <c r="R87" s="248">
        <f t="shared" si="129"/>
        <v>293.22973968010774</v>
      </c>
      <c r="S87" s="248">
        <f t="shared" si="130"/>
        <v>285.24871678205818</v>
      </c>
      <c r="T87" s="248">
        <f t="shared" si="131"/>
        <v>277.37662354703934</v>
      </c>
    </row>
    <row r="88" spans="3:22" outlineLevel="4" x14ac:dyDescent="0.2">
      <c r="E88" s="1"/>
      <c r="F88" s="1"/>
      <c r="G88" s="1"/>
      <c r="H88" s="1"/>
      <c r="I88" s="1"/>
      <c r="J88" s="1"/>
      <c r="K88" s="1"/>
      <c r="L88" s="1"/>
      <c r="M88" s="1"/>
      <c r="N88" s="1"/>
      <c r="O88" s="1"/>
      <c r="P88" s="1"/>
      <c r="Q88" s="1"/>
      <c r="R88" s="1"/>
      <c r="S88" s="1"/>
      <c r="T88" s="1"/>
    </row>
    <row r="89" spans="3:22" outlineLevel="4" x14ac:dyDescent="0.2">
      <c r="C89" s="2" t="s">
        <v>139</v>
      </c>
      <c r="E89" s="1"/>
      <c r="F89" s="1"/>
      <c r="G89" s="1"/>
      <c r="H89" s="1"/>
      <c r="I89" s="1"/>
      <c r="J89" s="1"/>
      <c r="K89" s="1"/>
      <c r="L89" s="1"/>
      <c r="M89" s="1"/>
      <c r="N89" s="1"/>
      <c r="O89" s="1"/>
      <c r="P89" s="1"/>
      <c r="Q89" s="1"/>
      <c r="R89" s="1"/>
      <c r="S89" s="1"/>
      <c r="T89" s="1"/>
    </row>
    <row r="90" spans="3:22" outlineLevel="4" x14ac:dyDescent="0.2">
      <c r="C90" s="2"/>
      <c r="E90" s="1"/>
      <c r="F90" s="1"/>
      <c r="G90" s="1"/>
      <c r="H90" s="1"/>
      <c r="I90" s="1"/>
      <c r="J90" s="1"/>
      <c r="K90" s="1"/>
      <c r="L90" s="1"/>
      <c r="M90" s="1"/>
      <c r="N90" s="1"/>
      <c r="O90" s="1"/>
      <c r="P90" s="1"/>
      <c r="Q90" s="1"/>
      <c r="R90" s="1"/>
      <c r="S90" s="1"/>
      <c r="T90" s="1"/>
    </row>
    <row r="91" spans="3:22" outlineLevel="4" x14ac:dyDescent="0.2">
      <c r="C91" s="59" t="s">
        <v>31</v>
      </c>
      <c r="D91" s="43" t="s">
        <v>395</v>
      </c>
      <c r="E91" s="136">
        <v>75</v>
      </c>
      <c r="F91" s="136">
        <v>85</v>
      </c>
      <c r="G91" s="136">
        <v>95</v>
      </c>
      <c r="H91" s="136">
        <v>107</v>
      </c>
      <c r="I91" s="136">
        <v>121</v>
      </c>
      <c r="J91" s="74">
        <f>I91*(1+J92)</f>
        <v>145.19999999999999</v>
      </c>
      <c r="K91" s="74">
        <f t="shared" ref="K91" si="137">J91*(1+K92)</f>
        <v>164.07599999999996</v>
      </c>
      <c r="L91" s="74">
        <f t="shared" ref="L91" si="138">K91*(1+L92)</f>
        <v>183.76511999999997</v>
      </c>
      <c r="M91" s="74">
        <f t="shared" ref="M91" si="139">L91*(1+M92)</f>
        <v>203.97928319999997</v>
      </c>
      <c r="N91" s="74">
        <f t="shared" ref="N91" si="140">M91*(1+N92)</f>
        <v>222.33741868799999</v>
      </c>
      <c r="O91" s="74">
        <f t="shared" ref="O91" si="141">N91*(1+O92)</f>
        <v>242.34778636992002</v>
      </c>
      <c r="P91" s="74">
        <f t="shared" ref="P91" si="142">O91*(1+P92)</f>
        <v>264.15908714321284</v>
      </c>
      <c r="Q91" s="74">
        <f t="shared" ref="Q91" si="143">P91*(1+Q92)</f>
        <v>287.933404986102</v>
      </c>
      <c r="R91" s="74">
        <f t="shared" ref="R91" si="144">Q91*(1+R92)</f>
        <v>313.84741143485121</v>
      </c>
      <c r="S91" s="74">
        <f t="shared" ref="S91" si="145">R91*(1+S92)</f>
        <v>342.09367846398783</v>
      </c>
      <c r="T91" s="74">
        <f t="shared" ref="T91" si="146">S91*(1+T92)</f>
        <v>372.88210952574678</v>
      </c>
    </row>
    <row r="92" spans="3:22" outlineLevel="4" x14ac:dyDescent="0.2">
      <c r="C92" s="60" t="s">
        <v>142</v>
      </c>
      <c r="E92" s="1"/>
      <c r="F92" s="52">
        <f>IFERROR(F91/E91-1,"")</f>
        <v>0.1333333333333333</v>
      </c>
      <c r="G92" s="52">
        <f t="shared" ref="G92:I92" si="147">IFERROR(G91/F91-1,"")</f>
        <v>0.11764705882352944</v>
      </c>
      <c r="H92" s="52">
        <f t="shared" si="147"/>
        <v>0.12631578947368416</v>
      </c>
      <c r="I92" s="52">
        <f t="shared" si="147"/>
        <v>0.13084112149532712</v>
      </c>
      <c r="J92" s="141">
        <v>0.2</v>
      </c>
      <c r="K92" s="141">
        <v>0.13</v>
      </c>
      <c r="L92" s="141">
        <v>0.12</v>
      </c>
      <c r="M92" s="141">
        <v>0.11</v>
      </c>
      <c r="N92" s="141">
        <f t="shared" ref="N92:T92" si="148">N13</f>
        <v>0.09</v>
      </c>
      <c r="O92" s="141">
        <f t="shared" si="148"/>
        <v>0.09</v>
      </c>
      <c r="P92" s="141">
        <f t="shared" si="148"/>
        <v>0.09</v>
      </c>
      <c r="Q92" s="141">
        <f t="shared" si="148"/>
        <v>0.09</v>
      </c>
      <c r="R92" s="141">
        <f t="shared" si="148"/>
        <v>0.09</v>
      </c>
      <c r="S92" s="141">
        <f t="shared" si="148"/>
        <v>0.09</v>
      </c>
      <c r="T92" s="141">
        <f t="shared" si="148"/>
        <v>0.09</v>
      </c>
      <c r="V92" s="1" t="s">
        <v>403</v>
      </c>
    </row>
    <row r="93" spans="3:22" outlineLevel="4" x14ac:dyDescent="0.2">
      <c r="C93" s="60"/>
      <c r="E93" s="1"/>
      <c r="F93" s="1"/>
      <c r="G93" s="1"/>
      <c r="H93" s="1"/>
      <c r="I93" s="1"/>
      <c r="J93" s="1"/>
      <c r="K93" s="1"/>
      <c r="L93" s="1"/>
      <c r="M93" s="1"/>
      <c r="N93" s="1"/>
      <c r="O93" s="1"/>
      <c r="P93" s="1"/>
      <c r="Q93" s="1"/>
      <c r="R93" s="1"/>
      <c r="S93" s="1"/>
      <c r="T93" s="1"/>
    </row>
    <row r="94" spans="3:22" outlineLevel="4" x14ac:dyDescent="0.2">
      <c r="C94" s="59" t="s">
        <v>31</v>
      </c>
      <c r="D94" s="43" t="s">
        <v>144</v>
      </c>
      <c r="E94" s="1"/>
      <c r="F94" s="1"/>
      <c r="G94" s="1"/>
      <c r="H94" s="64">
        <f>Inputs!H7</f>
        <v>2.9</v>
      </c>
      <c r="I94" s="64">
        <f>Inputs!I7</f>
        <v>3</v>
      </c>
      <c r="J94" s="74">
        <f>J91/J$37</f>
        <v>3.4709163346613545</v>
      </c>
      <c r="K94" s="74">
        <f t="shared" ref="K94:T94" si="149">K91/K$37</f>
        <v>3.765250039840637</v>
      </c>
      <c r="L94" s="74">
        <f t="shared" si="149"/>
        <v>4.0483968428366524</v>
      </c>
      <c r="M94" s="74">
        <f t="shared" si="149"/>
        <v>4.3139716757267372</v>
      </c>
      <c r="N94" s="74">
        <f t="shared" si="149"/>
        <v>4.514139961480458</v>
      </c>
      <c r="O94" s="74">
        <f t="shared" si="149"/>
        <v>4.723596055693152</v>
      </c>
      <c r="P94" s="74">
        <f t="shared" si="149"/>
        <v>4.9427709126773145</v>
      </c>
      <c r="Q94" s="74">
        <f t="shared" si="149"/>
        <v>5.172115483025542</v>
      </c>
      <c r="R94" s="74">
        <f t="shared" si="149"/>
        <v>5.4121016414379275</v>
      </c>
      <c r="S94" s="74">
        <f t="shared" si="149"/>
        <v>5.6632231576006475</v>
      </c>
      <c r="T94" s="74">
        <f t="shared" si="149"/>
        <v>5.925996712113319</v>
      </c>
    </row>
    <row r="95" spans="3:22" outlineLevel="4" x14ac:dyDescent="0.2">
      <c r="C95" s="60" t="s">
        <v>142</v>
      </c>
      <c r="E95" s="1"/>
      <c r="F95" s="1"/>
      <c r="G95" s="1"/>
      <c r="H95" s="1"/>
      <c r="I95" s="52">
        <f>IFERROR(I94/H94-1,"")</f>
        <v>3.4482758620689724E-2</v>
      </c>
      <c r="J95" s="52">
        <f t="shared" ref="J95:T95" si="150">IFERROR(J94/I94-1,"")</f>
        <v>0.15697211155378477</v>
      </c>
      <c r="K95" s="52">
        <f t="shared" si="150"/>
        <v>8.4799999999999986E-2</v>
      </c>
      <c r="L95" s="52">
        <f t="shared" si="150"/>
        <v>7.5199999999999934E-2</v>
      </c>
      <c r="M95" s="52">
        <f t="shared" si="150"/>
        <v>6.5600000000000103E-2</v>
      </c>
      <c r="N95" s="52">
        <f t="shared" si="150"/>
        <v>4.6399999999999997E-2</v>
      </c>
      <c r="O95" s="52">
        <f t="shared" si="150"/>
        <v>4.6400000000000219E-2</v>
      </c>
      <c r="P95" s="52">
        <f t="shared" si="150"/>
        <v>4.6399999999999997E-2</v>
      </c>
      <c r="Q95" s="52">
        <f t="shared" si="150"/>
        <v>4.6399999999999997E-2</v>
      </c>
      <c r="R95" s="52">
        <f t="shared" si="150"/>
        <v>4.6399999999999997E-2</v>
      </c>
      <c r="S95" s="52">
        <f t="shared" si="150"/>
        <v>4.6399999999999997E-2</v>
      </c>
      <c r="T95" s="52">
        <f t="shared" si="150"/>
        <v>4.6400000000000219E-2</v>
      </c>
      <c r="V95" s="2"/>
    </row>
    <row r="96" spans="3:22" outlineLevel="4" x14ac:dyDescent="0.2">
      <c r="C96" s="61"/>
      <c r="E96" s="1"/>
      <c r="F96" s="1"/>
      <c r="G96" s="1"/>
      <c r="H96" s="1"/>
      <c r="I96" s="1"/>
      <c r="J96" s="1"/>
      <c r="K96" s="1"/>
      <c r="L96" s="1"/>
      <c r="M96" s="1"/>
      <c r="N96" s="1"/>
      <c r="O96" s="1"/>
      <c r="P96" s="1"/>
      <c r="Q96" s="1"/>
      <c r="R96" s="1"/>
      <c r="S96" s="1"/>
      <c r="T96" s="1"/>
    </row>
    <row r="97" spans="1:20" outlineLevel="4" x14ac:dyDescent="0.2">
      <c r="C97" s="59" t="s">
        <v>138</v>
      </c>
      <c r="D97" s="43" t="s">
        <v>145</v>
      </c>
      <c r="E97" s="1"/>
      <c r="F97" s="13">
        <f>AVERAGE(F62,E62)</f>
        <v>26029.485500000003</v>
      </c>
      <c r="G97" s="13">
        <f>AVERAGE(G62,F62)</f>
        <v>25467.807000000001</v>
      </c>
      <c r="H97" s="13">
        <f>AVERAGE(H62,G62)</f>
        <v>24331.484499999999</v>
      </c>
      <c r="I97" s="13">
        <f>AVERAGE(I62,H62)</f>
        <v>23460.163</v>
      </c>
      <c r="J97" s="13">
        <f t="shared" ref="J97:O97" si="151">AVERAGE(J62,I62)</f>
        <v>23045.840208966671</v>
      </c>
      <c r="K97" s="13">
        <f t="shared" si="151"/>
        <v>23115.278101327822</v>
      </c>
      <c r="L97" s="13">
        <f t="shared" si="151"/>
        <v>23179.161425398139</v>
      </c>
      <c r="M97" s="13">
        <f t="shared" si="151"/>
        <v>23237.598359271069</v>
      </c>
      <c r="N97" s="13">
        <f t="shared" si="151"/>
        <v>23290.69551569075</v>
      </c>
      <c r="O97" s="13">
        <f t="shared" si="151"/>
        <v>23338.557961694107</v>
      </c>
      <c r="P97" s="13">
        <f t="shared" ref="P97" si="152">AVERAGE(P62,O62)</f>
        <v>23381.289238026737</v>
      </c>
      <c r="Q97" s="13">
        <f t="shared" ref="Q97" si="153">AVERAGE(Q62,P62)</f>
        <v>23418.991378334998</v>
      </c>
      <c r="R97" s="13">
        <f t="shared" ref="R97" si="154">AVERAGE(R62,Q62)</f>
        <v>23451.764928136748</v>
      </c>
      <c r="S97" s="13">
        <f t="shared" ref="S97" si="155">AVERAGE(S62,R62)</f>
        <v>23479.708963573114</v>
      </c>
      <c r="T97" s="13">
        <f t="shared" ref="T97" si="156">AVERAGE(T62,S62)</f>
        <v>23502.921109943716</v>
      </c>
    </row>
    <row r="98" spans="1:20" outlineLevel="4" x14ac:dyDescent="0.2">
      <c r="C98" s="60" t="s">
        <v>142</v>
      </c>
      <c r="E98" s="1"/>
      <c r="F98" s="1"/>
      <c r="G98" s="1"/>
      <c r="H98" s="1"/>
      <c r="I98" s="52">
        <f>IFERROR(I97/H97-1,"")</f>
        <v>-3.5810453735364955E-2</v>
      </c>
      <c r="J98" s="52">
        <f>IFERROR(J97/I97-1,"")</f>
        <v>-1.7660695325660392E-2</v>
      </c>
      <c r="K98" s="52">
        <f t="shared" ref="K98:T98" si="157">IFERROR(K97/J97-1,"")</f>
        <v>3.0130336638425348E-3</v>
      </c>
      <c r="L98" s="52">
        <f t="shared" si="157"/>
        <v>2.763683992478061E-3</v>
      </c>
      <c r="M98" s="52">
        <f t="shared" si="157"/>
        <v>2.5210978430350028E-3</v>
      </c>
      <c r="N98" s="52">
        <f t="shared" si="157"/>
        <v>2.2849674737792647E-3</v>
      </c>
      <c r="O98" s="52">
        <f t="shared" si="157"/>
        <v>2.0550028646038054E-3</v>
      </c>
      <c r="P98" s="52">
        <f t="shared" si="157"/>
        <v>1.8309304457784226E-3</v>
      </c>
      <c r="Q98" s="52">
        <f t="shared" si="157"/>
        <v>1.6124919342319632E-3</v>
      </c>
      <c r="R98" s="52">
        <f t="shared" si="157"/>
        <v>1.3994432668893442E-3</v>
      </c>
      <c r="S98" s="52">
        <f t="shared" si="157"/>
        <v>1.1915536217421696E-3</v>
      </c>
      <c r="T98" s="52">
        <f t="shared" si="157"/>
        <v>9.8860451833604479E-4</v>
      </c>
    </row>
    <row r="99" spans="1:20" outlineLevel="4" x14ac:dyDescent="0.2">
      <c r="C99" s="61"/>
      <c r="E99" s="1"/>
      <c r="F99" s="1"/>
      <c r="G99" s="1"/>
      <c r="H99" s="1"/>
      <c r="I99" s="1"/>
      <c r="J99" s="1"/>
      <c r="K99" s="1"/>
      <c r="L99" s="1"/>
      <c r="M99" s="1"/>
      <c r="N99" s="1"/>
      <c r="O99" s="1"/>
      <c r="P99" s="1"/>
      <c r="Q99" s="1"/>
      <c r="R99" s="1"/>
      <c r="S99" s="1"/>
      <c r="T99" s="1"/>
    </row>
    <row r="100" spans="1:20" outlineLevel="4" x14ac:dyDescent="0.2">
      <c r="C100" s="61" t="s">
        <v>140</v>
      </c>
      <c r="D100" s="43" t="s">
        <v>406</v>
      </c>
      <c r="E100" s="1"/>
      <c r="F100" s="1"/>
      <c r="G100" s="1"/>
      <c r="H100" s="13">
        <f>IFERROR(H91*H97*12/1000,"")</f>
        <v>31241.626097999997</v>
      </c>
      <c r="I100" s="13">
        <f>IFERROR(I91*I97*12/1000,"")</f>
        <v>34064.156675999999</v>
      </c>
      <c r="J100" s="13">
        <f>IFERROR(J91*J97*12/1000,"")</f>
        <v>40155.071980103523</v>
      </c>
      <c r="K100" s="13">
        <f t="shared" ref="K100:T100" si="158">IFERROR(K91*K97*12/1000,"")</f>
        <v>45511.948437041552</v>
      </c>
      <c r="L100" s="13">
        <f t="shared" si="158"/>
        <v>51114.256570051912</v>
      </c>
      <c r="M100" s="13">
        <f t="shared" si="158"/>
        <v>56879.8638793633</v>
      </c>
      <c r="N100" s="13">
        <f t="shared" si="158"/>
        <v>62140.717444882292</v>
      </c>
      <c r="O100" s="13">
        <f t="shared" si="158"/>
        <v>67872.574308991665</v>
      </c>
      <c r="P100" s="13">
        <f t="shared" si="158"/>
        <v>74116.560256182827</v>
      </c>
      <c r="Q100" s="13">
        <f t="shared" si="158"/>
        <v>80917.319146849957</v>
      </c>
      <c r="R100" s="13">
        <f t="shared" si="158"/>
        <v>88323.308595292183</v>
      </c>
      <c r="S100" s="13">
        <f t="shared" si="158"/>
        <v>96387.120103351117</v>
      </c>
      <c r="T100" s="13">
        <f t="shared" si="158"/>
        <v>105165.82564191624</v>
      </c>
    </row>
    <row r="101" spans="1:20" outlineLevel="4" x14ac:dyDescent="0.2">
      <c r="C101" s="61" t="s">
        <v>407</v>
      </c>
      <c r="D101" s="43" t="s">
        <v>406</v>
      </c>
      <c r="E101" s="1"/>
      <c r="F101" s="1"/>
      <c r="G101" s="1"/>
      <c r="H101" s="13">
        <f>H102-H100</f>
        <v>172.00390200000402</v>
      </c>
      <c r="I101" s="13">
        <f>I102-I100</f>
        <v>674.24332399999548</v>
      </c>
      <c r="J101" s="88">
        <f>I101</f>
        <v>674.24332399999548</v>
      </c>
      <c r="K101" s="88">
        <f t="shared" ref="K101:O101" si="159">J101</f>
        <v>674.24332399999548</v>
      </c>
      <c r="L101" s="88">
        <f t="shared" si="159"/>
        <v>674.24332399999548</v>
      </c>
      <c r="M101" s="88">
        <f t="shared" si="159"/>
        <v>674.24332399999548</v>
      </c>
      <c r="N101" s="88">
        <f t="shared" si="159"/>
        <v>674.24332399999548</v>
      </c>
      <c r="O101" s="88">
        <f t="shared" si="159"/>
        <v>674.24332399999548</v>
      </c>
      <c r="P101" s="88">
        <f t="shared" ref="P101" si="160">O101</f>
        <v>674.24332399999548</v>
      </c>
      <c r="Q101" s="88">
        <f t="shared" ref="Q101" si="161">P101</f>
        <v>674.24332399999548</v>
      </c>
      <c r="R101" s="88">
        <f t="shared" ref="R101" si="162">Q101</f>
        <v>674.24332399999548</v>
      </c>
      <c r="S101" s="88">
        <f t="shared" ref="S101" si="163">R101</f>
        <v>674.24332399999548</v>
      </c>
      <c r="T101" s="88">
        <f t="shared" ref="T101" si="164">S101</f>
        <v>674.24332399999548</v>
      </c>
    </row>
    <row r="102" spans="1:20" s="2" customFormat="1" ht="13.5" outlineLevel="4" thickBot="1" x14ac:dyDescent="0.25">
      <c r="C102" s="62" t="s">
        <v>141</v>
      </c>
      <c r="D102" s="87" t="s">
        <v>406</v>
      </c>
      <c r="E102" s="5"/>
      <c r="F102" s="5"/>
      <c r="G102" s="5"/>
      <c r="H102" s="106">
        <f>H533</f>
        <v>31413.63</v>
      </c>
      <c r="I102" s="106">
        <f>I533</f>
        <v>34738.399999999994</v>
      </c>
      <c r="J102" s="25">
        <f>J100+J101</f>
        <v>40829.315304103518</v>
      </c>
      <c r="K102" s="25">
        <f t="shared" ref="K102:O102" si="165">K100+K101</f>
        <v>46186.191761041548</v>
      </c>
      <c r="L102" s="25">
        <f t="shared" si="165"/>
        <v>51788.499894051907</v>
      </c>
      <c r="M102" s="25">
        <f t="shared" si="165"/>
        <v>57554.107203363295</v>
      </c>
      <c r="N102" s="25">
        <f t="shared" si="165"/>
        <v>62814.960768882287</v>
      </c>
      <c r="O102" s="25">
        <f t="shared" si="165"/>
        <v>68546.817632991661</v>
      </c>
      <c r="P102" s="25">
        <f t="shared" ref="P102:T102" si="166">P100+P101</f>
        <v>74790.803580182823</v>
      </c>
      <c r="Q102" s="25">
        <f t="shared" si="166"/>
        <v>81591.562470849953</v>
      </c>
      <c r="R102" s="25">
        <f t="shared" si="166"/>
        <v>88997.551919292178</v>
      </c>
      <c r="S102" s="25">
        <f t="shared" si="166"/>
        <v>97061.363427351112</v>
      </c>
      <c r="T102" s="25">
        <f t="shared" si="166"/>
        <v>105840.06896591623</v>
      </c>
    </row>
    <row r="103" spans="1:20" ht="13.5" outlineLevel="4" thickTop="1" x14ac:dyDescent="0.2">
      <c r="C103" s="84" t="s">
        <v>148</v>
      </c>
      <c r="E103" s="1"/>
      <c r="F103" s="1"/>
      <c r="G103" s="1"/>
      <c r="H103" s="86"/>
      <c r="I103" s="85">
        <f>IFERROR(I102/H102-1,"")</f>
        <v>0.10583845292632499</v>
      </c>
      <c r="J103" s="85">
        <f t="shared" ref="J103:O103" si="167">IFERROR(J102/I102-1,"")</f>
        <v>0.1753366678978745</v>
      </c>
      <c r="K103" s="85">
        <f t="shared" si="167"/>
        <v>0.13120172153363652</v>
      </c>
      <c r="L103" s="85">
        <f t="shared" si="167"/>
        <v>0.12129833440253357</v>
      </c>
      <c r="M103" s="85">
        <f t="shared" si="167"/>
        <v>0.11132987673144767</v>
      </c>
      <c r="N103" s="85">
        <f t="shared" si="167"/>
        <v>9.1407091885382652E-2</v>
      </c>
      <c r="O103" s="85">
        <f t="shared" si="167"/>
        <v>9.124986776954036E-2</v>
      </c>
      <c r="P103" s="85">
        <f t="shared" ref="P103" si="168">IFERROR(P102/O102-1,"")</f>
        <v>9.109082175954919E-2</v>
      </c>
      <c r="Q103" s="85">
        <f t="shared" ref="Q103" si="169">IFERROR(Q102/P102-1,"")</f>
        <v>9.0930416108928158E-2</v>
      </c>
      <c r="R103" s="85">
        <f t="shared" ref="R103" si="170">IFERROR(R102/Q102-1,"")</f>
        <v>9.0769060233258259E-2</v>
      </c>
      <c r="S103" s="85">
        <f t="shared" ref="S103" si="171">IFERROR(S102/R102-1,"")</f>
        <v>9.060711597293869E-2</v>
      </c>
      <c r="T103" s="85">
        <f t="shared" ref="T103" si="172">IFERROR(T102/S102-1,"")</f>
        <v>9.0444902364634983E-2</v>
      </c>
    </row>
    <row r="104" spans="1:20" outlineLevel="4" x14ac:dyDescent="0.2">
      <c r="C104" s="274" t="s">
        <v>441</v>
      </c>
      <c r="D104" s="275"/>
      <c r="E104" s="276">
        <v>23417.882417510002</v>
      </c>
      <c r="F104" s="276">
        <v>26712.185693139996</v>
      </c>
      <c r="G104" s="276">
        <v>29014.301770180002</v>
      </c>
      <c r="H104" s="276">
        <v>31396.813455719999</v>
      </c>
      <c r="I104" s="276">
        <v>34291.887708303482</v>
      </c>
      <c r="J104" s="1"/>
      <c r="K104" s="1"/>
      <c r="L104" s="1"/>
      <c r="M104" s="1"/>
      <c r="N104" s="1"/>
      <c r="O104" s="1"/>
      <c r="P104" s="1"/>
      <c r="Q104" s="1"/>
      <c r="R104" s="1"/>
      <c r="S104" s="1"/>
      <c r="T104" s="1"/>
    </row>
    <row r="105" spans="1:20" outlineLevel="4" x14ac:dyDescent="0.2">
      <c r="F105" s="52">
        <f>F104/E104-1</f>
        <v>0.14067468684387885</v>
      </c>
      <c r="G105" s="52">
        <f t="shared" ref="G105:I105" si="173">G104/F104-1</f>
        <v>8.6182242946567067E-2</v>
      </c>
      <c r="H105" s="52">
        <f t="shared" si="173"/>
        <v>8.2115079122416335E-2</v>
      </c>
      <c r="I105" s="52">
        <f t="shared" si="173"/>
        <v>9.2209174560549112E-2</v>
      </c>
      <c r="J105" s="1"/>
      <c r="K105" s="1"/>
      <c r="L105" s="1"/>
      <c r="M105" s="1"/>
      <c r="N105" s="1"/>
      <c r="O105" s="1"/>
      <c r="P105" s="1"/>
      <c r="Q105" s="1"/>
      <c r="R105" s="1"/>
      <c r="S105" s="1"/>
      <c r="T105" s="1"/>
    </row>
    <row r="106" spans="1:20" outlineLevel="4" x14ac:dyDescent="0.2">
      <c r="A106" s="1" t="s">
        <v>22</v>
      </c>
      <c r="C106" s="37" t="s">
        <v>26</v>
      </c>
      <c r="E106" s="1"/>
      <c r="F106" s="1"/>
      <c r="G106" s="1"/>
      <c r="H106" s="1"/>
      <c r="I106" s="1"/>
      <c r="J106" s="1"/>
      <c r="K106" s="1"/>
      <c r="L106" s="1"/>
      <c r="M106" s="1"/>
      <c r="N106" s="1"/>
      <c r="O106" s="1"/>
      <c r="P106" s="1"/>
      <c r="Q106" s="1"/>
      <c r="R106" s="1"/>
      <c r="S106" s="1"/>
      <c r="T106" s="1"/>
    </row>
    <row r="107" spans="1:20" outlineLevel="4" x14ac:dyDescent="0.2">
      <c r="E107" s="1"/>
      <c r="F107" s="1"/>
      <c r="G107" s="1"/>
      <c r="H107" s="1"/>
      <c r="I107" s="1"/>
      <c r="J107" s="1"/>
      <c r="K107" s="1"/>
      <c r="L107" s="1"/>
      <c r="M107" s="1"/>
      <c r="N107" s="1"/>
      <c r="O107" s="1"/>
      <c r="P107" s="1"/>
      <c r="Q107" s="1"/>
      <c r="R107" s="1"/>
      <c r="S107" s="1"/>
      <c r="T107" s="1"/>
    </row>
    <row r="108" spans="1:20" outlineLevel="4" x14ac:dyDescent="0.2">
      <c r="C108" s="59" t="s">
        <v>131</v>
      </c>
      <c r="D108" s="43" t="s">
        <v>134</v>
      </c>
      <c r="E108" s="1"/>
      <c r="F108" s="1"/>
      <c r="G108" s="1"/>
      <c r="H108" s="1"/>
      <c r="I108" s="1"/>
      <c r="J108" s="1"/>
      <c r="K108" s="1"/>
      <c r="L108" s="1"/>
      <c r="M108" s="1"/>
      <c r="N108" s="1"/>
      <c r="O108" s="1"/>
      <c r="P108" s="1"/>
      <c r="Q108" s="1"/>
      <c r="R108" s="1"/>
      <c r="S108" s="1"/>
      <c r="T108" s="1"/>
    </row>
    <row r="109" spans="1:20" s="21" customFormat="1" outlineLevel="4" x14ac:dyDescent="0.2">
      <c r="A109" s="1"/>
      <c r="B109" s="1"/>
      <c r="C109" s="61" t="s">
        <v>118</v>
      </c>
      <c r="D109" s="43"/>
      <c r="E109" s="164">
        <v>1121.2159999999999</v>
      </c>
      <c r="F109" s="164">
        <v>1203.5929999999998</v>
      </c>
      <c r="G109" s="164">
        <v>1154.1310000000001</v>
      </c>
      <c r="H109" s="164">
        <v>1154.19</v>
      </c>
      <c r="I109" s="164">
        <v>1128.6669999999999</v>
      </c>
      <c r="J109" s="13">
        <f>J$113*J117</f>
        <v>1219.4731119679291</v>
      </c>
      <c r="K109" s="13">
        <f t="shared" ref="K109:O109" si="174">K$113*K117</f>
        <v>1312.4797795081854</v>
      </c>
      <c r="L109" s="13">
        <f t="shared" si="174"/>
        <v>1407.6161766360324</v>
      </c>
      <c r="M109" s="13">
        <f t="shared" si="174"/>
        <v>1504.8127081909656</v>
      </c>
      <c r="N109" s="13">
        <f t="shared" si="174"/>
        <v>1604.0009927688393</v>
      </c>
      <c r="O109" s="13">
        <f t="shared" si="174"/>
        <v>1705.1138458635626</v>
      </c>
      <c r="P109" s="13">
        <f t="shared" ref="P109:T109" si="175">P$113*P117</f>
        <v>1808.0852632159852</v>
      </c>
      <c r="Q109" s="13">
        <f t="shared" si="175"/>
        <v>1912.8504043676201</v>
      </c>
      <c r="R109" s="13">
        <f t="shared" si="175"/>
        <v>1993.3708956468583</v>
      </c>
      <c r="S109" s="13">
        <f t="shared" si="175"/>
        <v>2074.8098464317354</v>
      </c>
      <c r="T109" s="13">
        <f t="shared" si="175"/>
        <v>2157.1287743803837</v>
      </c>
    </row>
    <row r="110" spans="1:20" s="21" customFormat="1" outlineLevel="4" x14ac:dyDescent="0.2">
      <c r="A110" s="1"/>
      <c r="B110" s="1"/>
      <c r="C110" s="61" t="s">
        <v>132</v>
      </c>
      <c r="D110" s="43"/>
      <c r="E110" s="13"/>
      <c r="F110" s="13"/>
      <c r="G110" s="13"/>
      <c r="H110" s="13"/>
      <c r="I110" s="13">
        <f>I118*I$113</f>
        <v>432.25544680851061</v>
      </c>
      <c r="J110" s="13">
        <f t="shared" ref="J110:O112" si="176">J$113*J118</f>
        <v>428.91812903699571</v>
      </c>
      <c r="K110" s="13">
        <f t="shared" si="176"/>
        <v>422.81227796236846</v>
      </c>
      <c r="L110" s="13">
        <f t="shared" si="176"/>
        <v>414.00475783412708</v>
      </c>
      <c r="M110" s="13">
        <f t="shared" si="176"/>
        <v>402.5613614268824</v>
      </c>
      <c r="N110" s="13">
        <f t="shared" si="176"/>
        <v>388.54682433530877</v>
      </c>
      <c r="O110" s="13">
        <f t="shared" si="176"/>
        <v>372.02483909750435</v>
      </c>
      <c r="P110" s="13">
        <f t="shared" ref="P110:T110" si="177">P$113*P118</f>
        <v>353.05806914868327</v>
      </c>
      <c r="Q110" s="13">
        <f t="shared" si="177"/>
        <v>331.70816260710149</v>
      </c>
      <c r="R110" s="13">
        <f t="shared" si="177"/>
        <v>304.07352645460531</v>
      </c>
      <c r="S110" s="13">
        <f t="shared" si="177"/>
        <v>275.11290781415255</v>
      </c>
      <c r="T110" s="13">
        <f t="shared" si="177"/>
        <v>244.86326628101631</v>
      </c>
    </row>
    <row r="111" spans="1:20" s="21" customFormat="1" outlineLevel="4" x14ac:dyDescent="0.2">
      <c r="A111" s="1"/>
      <c r="B111" s="1"/>
      <c r="C111" s="61" t="s">
        <v>133</v>
      </c>
      <c r="D111" s="43"/>
      <c r="E111" s="13"/>
      <c r="F111" s="13"/>
      <c r="G111" s="13"/>
      <c r="H111" s="13"/>
      <c r="I111" s="13">
        <f>I119*I$113</f>
        <v>384.22706382978726</v>
      </c>
      <c r="J111" s="13">
        <f t="shared" si="176"/>
        <v>420.50796964411347</v>
      </c>
      <c r="K111" s="13">
        <f t="shared" si="176"/>
        <v>458.04663445923256</v>
      </c>
      <c r="L111" s="13">
        <f t="shared" si="176"/>
        <v>496.80570940095265</v>
      </c>
      <c r="M111" s="13">
        <f t="shared" si="176"/>
        <v>536.74848190251009</v>
      </c>
      <c r="N111" s="13">
        <f t="shared" si="176"/>
        <v>577.83886696020306</v>
      </c>
      <c r="O111" s="13">
        <f t="shared" si="176"/>
        <v>620.04139849584101</v>
      </c>
      <c r="P111" s="13">
        <f t="shared" ref="P111:T111" si="178">P$113*P119</f>
        <v>663.32122082479941</v>
      </c>
      <c r="Q111" s="13">
        <f t="shared" si="178"/>
        <v>707.64408022848386</v>
      </c>
      <c r="R111" s="13">
        <f t="shared" si="178"/>
        <v>743.29084244459136</v>
      </c>
      <c r="S111" s="13">
        <f t="shared" si="178"/>
        <v>779.48657214009961</v>
      </c>
      <c r="T111" s="13">
        <f t="shared" si="178"/>
        <v>816.21088760338853</v>
      </c>
    </row>
    <row r="112" spans="1:20" s="21" customFormat="1" outlineLevel="4" x14ac:dyDescent="0.2">
      <c r="A112" s="1"/>
      <c r="B112" s="1"/>
      <c r="C112" s="61" t="s">
        <v>27</v>
      </c>
      <c r="D112" s="43"/>
      <c r="E112" s="13"/>
      <c r="F112" s="13"/>
      <c r="G112" s="13"/>
      <c r="H112" s="13"/>
      <c r="I112" s="13">
        <f>I120*I$113</f>
        <v>6059.5809858156026</v>
      </c>
      <c r="J112" s="13">
        <f t="shared" si="176"/>
        <v>6341.2601822332308</v>
      </c>
      <c r="K112" s="13">
        <f t="shared" si="176"/>
        <v>6615.2504322862242</v>
      </c>
      <c r="L112" s="13">
        <f t="shared" si="176"/>
        <v>6881.679085776158</v>
      </c>
      <c r="M112" s="13">
        <f t="shared" si="176"/>
        <v>7140.6717681673208</v>
      </c>
      <c r="N112" s="13">
        <f t="shared" si="176"/>
        <v>7392.35240145639</v>
      </c>
      <c r="O112" s="13">
        <f t="shared" si="176"/>
        <v>7636.8432248071067</v>
      </c>
      <c r="P112" s="13">
        <f t="shared" ref="P112:T112" si="179">P$113*P120</f>
        <v>7874.2648149524557</v>
      </c>
      <c r="Q112" s="13">
        <f t="shared" si="179"/>
        <v>8104.7361063668513</v>
      </c>
      <c r="R112" s="13">
        <f t="shared" si="179"/>
        <v>8221.2471967356305</v>
      </c>
      <c r="S112" s="13">
        <f t="shared" si="179"/>
        <v>8333.6284992037108</v>
      </c>
      <c r="T112" s="13">
        <f t="shared" si="179"/>
        <v>8441.9526089264727</v>
      </c>
    </row>
    <row r="113" spans="1:22" s="89" customFormat="1" outlineLevel="4" x14ac:dyDescent="0.2">
      <c r="A113" s="2"/>
      <c r="B113" s="2"/>
      <c r="C113" s="63" t="s">
        <v>28</v>
      </c>
      <c r="D113" s="45"/>
      <c r="E113" s="16">
        <v>7769.4009999999998</v>
      </c>
      <c r="F113" s="16">
        <v>7566.2860000000001</v>
      </c>
      <c r="G113" s="16">
        <v>7190.92</v>
      </c>
      <c r="H113" s="16">
        <v>8070</v>
      </c>
      <c r="I113" s="81">
        <f>I109/I117</f>
        <v>8004.7304964539007</v>
      </c>
      <c r="J113" s="81">
        <f>J53*J55</f>
        <v>8410.1593928822695</v>
      </c>
      <c r="K113" s="81">
        <f t="shared" ref="K113:O113" si="180">K53*K55</f>
        <v>8808.5891242160105</v>
      </c>
      <c r="L113" s="81">
        <f t="shared" si="180"/>
        <v>9200.10572964727</v>
      </c>
      <c r="M113" s="81">
        <f t="shared" si="180"/>
        <v>9584.7943196876786</v>
      </c>
      <c r="N113" s="81">
        <f t="shared" si="180"/>
        <v>9962.7390855207414</v>
      </c>
      <c r="O113" s="81">
        <f t="shared" si="180"/>
        <v>10334.023308264015</v>
      </c>
      <c r="P113" s="81">
        <f t="shared" ref="P113:T113" si="181">P53*P55</f>
        <v>10698.729368141923</v>
      </c>
      <c r="Q113" s="81">
        <f t="shared" si="181"/>
        <v>11056.938753570057</v>
      </c>
      <c r="R113" s="81">
        <f t="shared" si="181"/>
        <v>11261.982461281685</v>
      </c>
      <c r="S113" s="81">
        <f t="shared" si="181"/>
        <v>11463.037825589698</v>
      </c>
      <c r="T113" s="81">
        <f t="shared" si="181"/>
        <v>11660.155537191262</v>
      </c>
    </row>
    <row r="114" spans="1:22" outlineLevel="4" x14ac:dyDescent="0.2">
      <c r="C114" s="84" t="s">
        <v>148</v>
      </c>
      <c r="E114" s="1"/>
      <c r="F114" s="52">
        <f>IFERROR(F113/E113-1,"""")</f>
        <v>-2.6142942036329386E-2</v>
      </c>
      <c r="G114" s="52">
        <f>IFERROR(G113/F113-1,"""")</f>
        <v>-4.9610337224894718E-2</v>
      </c>
      <c r="H114" s="52">
        <f t="shared" ref="H114:I114" si="182">IFERROR(H113/G113-1,"""")</f>
        <v>0.12224861352928418</v>
      </c>
      <c r="I114" s="52">
        <f t="shared" si="182"/>
        <v>-8.0879186550308901E-3</v>
      </c>
      <c r="J114" s="52">
        <f t="shared" ref="J114" si="183">IFERROR(J113/I113-1,"""")</f>
        <v>5.0648662888522544E-2</v>
      </c>
      <c r="K114" s="52">
        <f t="shared" ref="K114" si="184">IFERROR(K113/J113-1,"""")</f>
        <v>4.7374813332425436E-2</v>
      </c>
      <c r="L114" s="52">
        <f t="shared" ref="L114" si="185">IFERROR(L113/K113-1,"""")</f>
        <v>4.4447141297001558E-2</v>
      </c>
      <c r="M114" s="52">
        <f t="shared" ref="M114" si="186">IFERROR(M113/L113-1,"""")</f>
        <v>4.1813496642843173E-2</v>
      </c>
      <c r="N114" s="52">
        <f t="shared" ref="N114" si="187">IFERROR(N113/M113-1,"""")</f>
        <v>3.9431703302880816E-2</v>
      </c>
      <c r="O114" s="52">
        <f t="shared" ref="O114" si="188">IFERROR(O113/N113-1,"""")</f>
        <v>3.726728358096576E-2</v>
      </c>
      <c r="P114" s="52">
        <f t="shared" ref="P114" si="189">IFERROR(P113/O113-1,"""")</f>
        <v>3.5291778332477319E-2</v>
      </c>
      <c r="Q114" s="52">
        <f t="shared" ref="Q114" si="190">IFERROR(Q113/P113-1,"""")</f>
        <v>3.3481488605066501E-2</v>
      </c>
      <c r="R114" s="52">
        <f t="shared" ref="R114" si="191">IFERROR(R113/Q113-1,"""")</f>
        <v>1.854434688312101E-2</v>
      </c>
      <c r="S114" s="52">
        <f t="shared" ref="S114" si="192">IFERROR(S113/R113-1,"""")</f>
        <v>1.7852573026039931E-2</v>
      </c>
      <c r="T114" s="52">
        <f t="shared" ref="T114" si="193">IFERROR(T113/S113-1,"""")</f>
        <v>1.7195940081565997E-2</v>
      </c>
    </row>
    <row r="115" spans="1:22" outlineLevel="4" x14ac:dyDescent="0.2">
      <c r="C115" s="84"/>
      <c r="E115" s="1"/>
      <c r="F115" s="1"/>
      <c r="G115" s="1"/>
      <c r="H115" s="1"/>
      <c r="I115" s="1"/>
      <c r="J115" s="1"/>
      <c r="K115" s="1"/>
      <c r="L115" s="1"/>
      <c r="M115" s="1"/>
      <c r="N115" s="1"/>
      <c r="O115" s="1"/>
      <c r="P115" s="1"/>
      <c r="Q115" s="1"/>
      <c r="R115" s="1"/>
      <c r="S115" s="1"/>
      <c r="T115" s="1"/>
    </row>
    <row r="116" spans="1:22" outlineLevel="4" x14ac:dyDescent="0.2">
      <c r="C116" s="59" t="s">
        <v>130</v>
      </c>
      <c r="D116" s="43" t="s">
        <v>135</v>
      </c>
      <c r="E116" s="1"/>
      <c r="F116" s="1"/>
      <c r="G116" s="1"/>
      <c r="H116" s="1"/>
      <c r="I116" s="1"/>
      <c r="J116" s="1"/>
      <c r="K116" s="1"/>
      <c r="L116" s="1"/>
      <c r="M116" s="1"/>
      <c r="N116" s="1"/>
      <c r="O116" s="1"/>
      <c r="P116" s="1"/>
      <c r="Q116" s="1"/>
      <c r="R116" s="1"/>
      <c r="S116" s="1"/>
      <c r="T116" s="1"/>
    </row>
    <row r="117" spans="1:22" outlineLevel="4" x14ac:dyDescent="0.2">
      <c r="C117" s="61" t="s">
        <v>118</v>
      </c>
      <c r="E117" s="51">
        <f>E109/E113</f>
        <v>0.14431176869362258</v>
      </c>
      <c r="F117" s="51">
        <f>F109/F113</f>
        <v>0.15907315689626322</v>
      </c>
      <c r="G117" s="51">
        <f>G109/G113</f>
        <v>0.16049837851067736</v>
      </c>
      <c r="H117" s="51">
        <f>H109/H113</f>
        <v>0.14302230483271375</v>
      </c>
      <c r="I117" s="41">
        <v>0.14099999999999999</v>
      </c>
      <c r="J117" s="51">
        <f>I117+J124</f>
        <v>0.14499999999999999</v>
      </c>
      <c r="K117" s="51">
        <f t="shared" ref="K117:O117" si="194">J117+K124</f>
        <v>0.14899999999999999</v>
      </c>
      <c r="L117" s="51">
        <f t="shared" si="194"/>
        <v>0.153</v>
      </c>
      <c r="M117" s="51">
        <f t="shared" si="194"/>
        <v>0.157</v>
      </c>
      <c r="N117" s="51">
        <f t="shared" si="194"/>
        <v>0.161</v>
      </c>
      <c r="O117" s="51">
        <f t="shared" si="194"/>
        <v>0.16500000000000001</v>
      </c>
      <c r="P117" s="51">
        <f t="shared" ref="P117:P119" si="195">O117+P124</f>
        <v>0.16900000000000001</v>
      </c>
      <c r="Q117" s="51">
        <f t="shared" ref="Q117:Q119" si="196">P117+Q124</f>
        <v>0.17300000000000001</v>
      </c>
      <c r="R117" s="51">
        <f t="shared" ref="R117:R119" si="197">Q117+R124</f>
        <v>0.17700000000000002</v>
      </c>
      <c r="S117" s="51">
        <f t="shared" ref="S117:S119" si="198">R117+S124</f>
        <v>0.18100000000000002</v>
      </c>
      <c r="T117" s="51">
        <f t="shared" ref="T117:T119" si="199">S117+T124</f>
        <v>0.18500000000000003</v>
      </c>
    </row>
    <row r="118" spans="1:22" outlineLevel="4" x14ac:dyDescent="0.2">
      <c r="C118" s="61" t="s">
        <v>132</v>
      </c>
      <c r="E118" s="41"/>
      <c r="F118" s="41"/>
      <c r="G118" s="41"/>
      <c r="H118" s="41"/>
      <c r="I118" s="41">
        <v>5.3999999999999999E-2</v>
      </c>
      <c r="J118" s="51">
        <f t="shared" ref="J118:O118" si="200">I118+J125</f>
        <v>5.0999999999999997E-2</v>
      </c>
      <c r="K118" s="51">
        <f t="shared" si="200"/>
        <v>4.7999999999999994E-2</v>
      </c>
      <c r="L118" s="51">
        <f t="shared" si="200"/>
        <v>4.4999999999999991E-2</v>
      </c>
      <c r="M118" s="51">
        <f t="shared" si="200"/>
        <v>4.1999999999999989E-2</v>
      </c>
      <c r="N118" s="51">
        <f t="shared" si="200"/>
        <v>3.8999999999999986E-2</v>
      </c>
      <c r="O118" s="51">
        <f t="shared" si="200"/>
        <v>3.5999999999999983E-2</v>
      </c>
      <c r="P118" s="51">
        <f t="shared" si="195"/>
        <v>3.2999999999999981E-2</v>
      </c>
      <c r="Q118" s="51">
        <f t="shared" si="196"/>
        <v>2.9999999999999982E-2</v>
      </c>
      <c r="R118" s="51">
        <f t="shared" si="197"/>
        <v>2.6999999999999982E-2</v>
      </c>
      <c r="S118" s="51">
        <f t="shared" si="198"/>
        <v>2.3999999999999983E-2</v>
      </c>
      <c r="T118" s="51">
        <f t="shared" si="199"/>
        <v>2.0999999999999984E-2</v>
      </c>
    </row>
    <row r="119" spans="1:22" outlineLevel="4" x14ac:dyDescent="0.2">
      <c r="C119" s="61" t="s">
        <v>133</v>
      </c>
      <c r="E119" s="41"/>
      <c r="F119" s="41"/>
      <c r="G119" s="41"/>
      <c r="H119" s="41"/>
      <c r="I119" s="41">
        <v>4.8000000000000001E-2</v>
      </c>
      <c r="J119" s="51">
        <f t="shared" ref="J119:O119" si="201">I119+J126</f>
        <v>0.05</v>
      </c>
      <c r="K119" s="51">
        <f t="shared" si="201"/>
        <v>5.2000000000000005E-2</v>
      </c>
      <c r="L119" s="51">
        <f t="shared" si="201"/>
        <v>5.4000000000000006E-2</v>
      </c>
      <c r="M119" s="51">
        <f t="shared" si="201"/>
        <v>5.6000000000000008E-2</v>
      </c>
      <c r="N119" s="51">
        <f t="shared" si="201"/>
        <v>5.800000000000001E-2</v>
      </c>
      <c r="O119" s="51">
        <f t="shared" si="201"/>
        <v>6.0000000000000012E-2</v>
      </c>
      <c r="P119" s="51">
        <f t="shared" si="195"/>
        <v>6.2000000000000013E-2</v>
      </c>
      <c r="Q119" s="51">
        <f t="shared" si="196"/>
        <v>6.4000000000000015E-2</v>
      </c>
      <c r="R119" s="51">
        <f t="shared" si="197"/>
        <v>6.6000000000000017E-2</v>
      </c>
      <c r="S119" s="51">
        <f t="shared" si="198"/>
        <v>6.8000000000000019E-2</v>
      </c>
      <c r="T119" s="51">
        <f t="shared" si="199"/>
        <v>7.0000000000000021E-2</v>
      </c>
    </row>
    <row r="120" spans="1:22" outlineLevel="4" x14ac:dyDescent="0.2">
      <c r="C120" s="61" t="s">
        <v>27</v>
      </c>
      <c r="E120" s="40"/>
      <c r="F120" s="40"/>
      <c r="G120" s="40"/>
      <c r="H120" s="40"/>
      <c r="I120" s="40">
        <f>1-SUM(I117:I119)</f>
        <v>0.75700000000000001</v>
      </c>
      <c r="J120" s="40">
        <f t="shared" ref="J120:O120" si="202">1-SUM(J117:J119)</f>
        <v>0.754</v>
      </c>
      <c r="K120" s="40">
        <f t="shared" si="202"/>
        <v>0.751</v>
      </c>
      <c r="L120" s="40">
        <f t="shared" si="202"/>
        <v>0.748</v>
      </c>
      <c r="M120" s="40">
        <f t="shared" si="202"/>
        <v>0.745</v>
      </c>
      <c r="N120" s="40">
        <f t="shared" si="202"/>
        <v>0.74199999999999999</v>
      </c>
      <c r="O120" s="40">
        <f t="shared" si="202"/>
        <v>0.73899999999999999</v>
      </c>
      <c r="P120" s="40">
        <f t="shared" ref="P120:T120" si="203">1-SUM(P117:P119)</f>
        <v>0.73599999999999999</v>
      </c>
      <c r="Q120" s="40">
        <f t="shared" si="203"/>
        <v>0.73299999999999998</v>
      </c>
      <c r="R120" s="40">
        <f t="shared" si="203"/>
        <v>0.73</v>
      </c>
      <c r="S120" s="40">
        <f t="shared" si="203"/>
        <v>0.72699999999999998</v>
      </c>
      <c r="T120" s="40">
        <f t="shared" si="203"/>
        <v>0.72399999999999998</v>
      </c>
    </row>
    <row r="121" spans="1:22" outlineLevel="4" x14ac:dyDescent="0.2">
      <c r="C121" s="63" t="s">
        <v>28</v>
      </c>
      <c r="D121" s="47"/>
      <c r="E121" s="42"/>
      <c r="F121" s="42"/>
      <c r="G121" s="42"/>
      <c r="H121" s="42"/>
      <c r="I121" s="105">
        <f>SUM(I117:I120)</f>
        <v>1</v>
      </c>
      <c r="J121" s="105">
        <f t="shared" ref="J121:O121" si="204">SUM(J117:J120)</f>
        <v>1</v>
      </c>
      <c r="K121" s="105">
        <f t="shared" si="204"/>
        <v>1</v>
      </c>
      <c r="L121" s="105">
        <f t="shared" si="204"/>
        <v>1</v>
      </c>
      <c r="M121" s="105">
        <f t="shared" si="204"/>
        <v>1</v>
      </c>
      <c r="N121" s="105">
        <f t="shared" si="204"/>
        <v>1</v>
      </c>
      <c r="O121" s="105">
        <f t="shared" si="204"/>
        <v>1</v>
      </c>
      <c r="P121" s="105">
        <f t="shared" ref="P121:T121" si="205">SUM(P117:P120)</f>
        <v>1</v>
      </c>
      <c r="Q121" s="105">
        <f t="shared" si="205"/>
        <v>1</v>
      </c>
      <c r="R121" s="105">
        <f t="shared" si="205"/>
        <v>1</v>
      </c>
      <c r="S121" s="105">
        <f t="shared" si="205"/>
        <v>1</v>
      </c>
      <c r="T121" s="105">
        <f t="shared" si="205"/>
        <v>1</v>
      </c>
    </row>
    <row r="122" spans="1:22" outlineLevel="4" x14ac:dyDescent="0.2">
      <c r="E122" s="1"/>
      <c r="F122" s="1"/>
      <c r="G122" s="1"/>
      <c r="H122" s="1"/>
      <c r="I122" s="1"/>
      <c r="J122" s="1"/>
      <c r="K122" s="1"/>
      <c r="L122" s="1"/>
      <c r="M122" s="1"/>
      <c r="N122" s="1"/>
      <c r="O122" s="1"/>
      <c r="P122" s="1"/>
      <c r="Q122" s="1"/>
      <c r="R122" s="1"/>
      <c r="S122" s="1"/>
      <c r="T122" s="1"/>
    </row>
    <row r="123" spans="1:22" outlineLevel="4" x14ac:dyDescent="0.2">
      <c r="C123" s="59" t="s">
        <v>146</v>
      </c>
      <c r="E123" s="1"/>
      <c r="F123" s="1"/>
      <c r="G123" s="1"/>
      <c r="H123" s="1"/>
      <c r="I123" s="1"/>
      <c r="J123" s="1"/>
      <c r="K123" s="1"/>
      <c r="L123" s="1"/>
      <c r="M123" s="1"/>
      <c r="N123" s="1"/>
      <c r="O123" s="1"/>
      <c r="P123" s="1"/>
      <c r="Q123" s="1"/>
      <c r="R123" s="1"/>
      <c r="S123" s="1"/>
      <c r="T123" s="1"/>
    </row>
    <row r="124" spans="1:22" outlineLevel="4" x14ac:dyDescent="0.2">
      <c r="C124" s="61" t="s">
        <v>118</v>
      </c>
      <c r="E124" s="1"/>
      <c r="F124" s="40"/>
      <c r="G124" s="40"/>
      <c r="H124" s="40"/>
      <c r="I124" s="40">
        <f t="shared" ref="I124" si="206">I117-H117</f>
        <v>-2.0223048327137616E-3</v>
      </c>
      <c r="J124" s="73">
        <v>4.0000000000000001E-3</v>
      </c>
      <c r="K124" s="73">
        <v>4.0000000000000001E-3</v>
      </c>
      <c r="L124" s="73">
        <v>4.0000000000000001E-3</v>
      </c>
      <c r="M124" s="73">
        <v>4.0000000000000001E-3</v>
      </c>
      <c r="N124" s="73">
        <v>4.0000000000000001E-3</v>
      </c>
      <c r="O124" s="73">
        <v>4.0000000000000001E-3</v>
      </c>
      <c r="P124" s="73">
        <v>4.0000000000000001E-3</v>
      </c>
      <c r="Q124" s="73">
        <v>4.0000000000000001E-3</v>
      </c>
      <c r="R124" s="73">
        <v>4.0000000000000001E-3</v>
      </c>
      <c r="S124" s="73">
        <v>4.0000000000000001E-3</v>
      </c>
      <c r="T124" s="73">
        <v>4.0000000000000001E-3</v>
      </c>
    </row>
    <row r="125" spans="1:22" outlineLevel="4" x14ac:dyDescent="0.2">
      <c r="C125" s="61" t="s">
        <v>132</v>
      </c>
      <c r="E125" s="1"/>
      <c r="F125" s="40"/>
      <c r="G125" s="40"/>
      <c r="H125" s="40"/>
      <c r="I125" s="40">
        <f t="shared" ref="I125" si="207">I118-H118</f>
        <v>5.3999999999999999E-2</v>
      </c>
      <c r="J125" s="73">
        <v>-3.0000000000000001E-3</v>
      </c>
      <c r="K125" s="73">
        <v>-3.0000000000000001E-3</v>
      </c>
      <c r="L125" s="73">
        <v>-3.0000000000000001E-3</v>
      </c>
      <c r="M125" s="73">
        <v>-3.0000000000000001E-3</v>
      </c>
      <c r="N125" s="73">
        <v>-3.0000000000000001E-3</v>
      </c>
      <c r="O125" s="73">
        <v>-3.0000000000000001E-3</v>
      </c>
      <c r="P125" s="73">
        <v>-3.0000000000000001E-3</v>
      </c>
      <c r="Q125" s="73">
        <v>-3.0000000000000001E-3</v>
      </c>
      <c r="R125" s="73">
        <v>-3.0000000000000001E-3</v>
      </c>
      <c r="S125" s="73">
        <v>-3.0000000000000001E-3</v>
      </c>
      <c r="T125" s="73">
        <v>-3.0000000000000001E-3</v>
      </c>
      <c r="V125" s="1" t="s">
        <v>160</v>
      </c>
    </row>
    <row r="126" spans="1:22" outlineLevel="4" x14ac:dyDescent="0.2">
      <c r="C126" s="61" t="s">
        <v>133</v>
      </c>
      <c r="E126" s="1"/>
      <c r="F126" s="40"/>
      <c r="G126" s="40"/>
      <c r="H126" s="40"/>
      <c r="I126" s="40">
        <f t="shared" ref="I126" si="208">I119-H119</f>
        <v>4.8000000000000001E-2</v>
      </c>
      <c r="J126" s="73">
        <v>2E-3</v>
      </c>
      <c r="K126" s="73">
        <v>2E-3</v>
      </c>
      <c r="L126" s="73">
        <v>2E-3</v>
      </c>
      <c r="M126" s="73">
        <v>2E-3</v>
      </c>
      <c r="N126" s="73">
        <v>2E-3</v>
      </c>
      <c r="O126" s="73">
        <v>2E-3</v>
      </c>
      <c r="P126" s="73">
        <v>2E-3</v>
      </c>
      <c r="Q126" s="73">
        <v>2E-3</v>
      </c>
      <c r="R126" s="73">
        <v>2E-3</v>
      </c>
      <c r="S126" s="73">
        <v>2E-3</v>
      </c>
      <c r="T126" s="73">
        <v>2E-3</v>
      </c>
    </row>
    <row r="127" spans="1:22" outlineLevel="4" x14ac:dyDescent="0.2">
      <c r="C127" s="61" t="s">
        <v>27</v>
      </c>
      <c r="E127" s="1"/>
      <c r="F127" s="40"/>
      <c r="G127" s="40"/>
      <c r="H127" s="40"/>
      <c r="I127" s="40">
        <f t="shared" ref="I127" si="209">I120-H120</f>
        <v>0.75700000000000001</v>
      </c>
      <c r="J127" s="51">
        <f>J120-I120</f>
        <v>-3.0000000000000027E-3</v>
      </c>
      <c r="K127" s="51">
        <f t="shared" ref="K127:O127" si="210">K120-J120</f>
        <v>-3.0000000000000027E-3</v>
      </c>
      <c r="L127" s="51">
        <f t="shared" si="210"/>
        <v>-3.0000000000000027E-3</v>
      </c>
      <c r="M127" s="51">
        <f t="shared" si="210"/>
        <v>-3.0000000000000027E-3</v>
      </c>
      <c r="N127" s="51">
        <f t="shared" si="210"/>
        <v>-3.0000000000000027E-3</v>
      </c>
      <c r="O127" s="51">
        <f t="shared" si="210"/>
        <v>-3.0000000000000027E-3</v>
      </c>
      <c r="P127" s="51">
        <f t="shared" ref="P127" si="211">P120-O120</f>
        <v>-3.0000000000000027E-3</v>
      </c>
      <c r="Q127" s="51">
        <f t="shared" ref="Q127" si="212">Q120-P120</f>
        <v>-3.0000000000000027E-3</v>
      </c>
      <c r="R127" s="51">
        <f t="shared" ref="R127" si="213">R120-Q120</f>
        <v>-3.0000000000000027E-3</v>
      </c>
      <c r="S127" s="51">
        <f t="shared" ref="S127" si="214">S120-R120</f>
        <v>-3.0000000000000027E-3</v>
      </c>
      <c r="T127" s="51">
        <f t="shared" ref="T127" si="215">T120-S120</f>
        <v>-3.0000000000000027E-3</v>
      </c>
    </row>
    <row r="128" spans="1:22" outlineLevel="4" x14ac:dyDescent="0.2">
      <c r="E128" s="1"/>
      <c r="F128" s="1"/>
      <c r="G128" s="1"/>
      <c r="H128" s="1"/>
      <c r="I128" s="1"/>
      <c r="J128" s="1"/>
      <c r="K128" s="1"/>
      <c r="L128" s="1"/>
      <c r="M128" s="1"/>
      <c r="N128" s="1"/>
      <c r="O128" s="1"/>
      <c r="P128" s="1"/>
      <c r="Q128" s="1"/>
      <c r="R128" s="1"/>
      <c r="S128" s="1"/>
      <c r="T128" s="1"/>
    </row>
    <row r="129" spans="3:20" outlineLevel="4" x14ac:dyDescent="0.2">
      <c r="C129" s="59" t="s">
        <v>143</v>
      </c>
      <c r="E129" s="1"/>
      <c r="F129" s="1"/>
      <c r="G129" s="1"/>
      <c r="H129" s="1"/>
      <c r="I129" s="1"/>
      <c r="J129" s="1"/>
      <c r="K129" s="1"/>
      <c r="L129" s="1"/>
      <c r="M129" s="1"/>
      <c r="N129" s="1"/>
      <c r="O129" s="1"/>
      <c r="P129" s="1"/>
      <c r="Q129" s="1"/>
      <c r="R129" s="1"/>
      <c r="S129" s="1"/>
      <c r="T129" s="1"/>
    </row>
    <row r="130" spans="3:20" outlineLevel="4" x14ac:dyDescent="0.2">
      <c r="C130" s="61" t="s">
        <v>118</v>
      </c>
      <c r="E130" s="1"/>
      <c r="F130" s="53">
        <f>IFERROR(F109-E109,"")</f>
        <v>82.376999999999953</v>
      </c>
      <c r="G130" s="53">
        <f t="shared" ref="G130:I130" si="216">IFERROR(G109-F109,"")</f>
        <v>-49.461999999999762</v>
      </c>
      <c r="H130" s="53">
        <f t="shared" si="216"/>
        <v>5.8999999999969077E-2</v>
      </c>
      <c r="I130" s="53">
        <f t="shared" si="216"/>
        <v>-25.523000000000138</v>
      </c>
      <c r="J130" s="53">
        <f t="shared" ref="J130:J133" si="217">IFERROR(J109-I109,"")</f>
        <v>90.806111967929155</v>
      </c>
      <c r="K130" s="53">
        <f t="shared" ref="K130:K133" si="218">IFERROR(K109-J109,"")</f>
        <v>93.006667540256331</v>
      </c>
      <c r="L130" s="53">
        <f t="shared" ref="L130:L133" si="219">IFERROR(L109-K109,"")</f>
        <v>95.136397127846976</v>
      </c>
      <c r="M130" s="53">
        <f t="shared" ref="M130:M133" si="220">IFERROR(M109-L109,"")</f>
        <v>97.196531554933244</v>
      </c>
      <c r="N130" s="53">
        <f t="shared" ref="N130:N133" si="221">IFERROR(N109-M109,"")</f>
        <v>99.188284577873674</v>
      </c>
      <c r="O130" s="53">
        <f t="shared" ref="O130:O133" si="222">IFERROR(O109-N109,"")</f>
        <v>101.11285309472328</v>
      </c>
      <c r="P130" s="53">
        <f t="shared" ref="P130:P133" si="223">IFERROR(P109-O109,"")</f>
        <v>102.97141735242258</v>
      </c>
      <c r="Q130" s="53">
        <f t="shared" ref="Q130:Q133" si="224">IFERROR(Q109-P109,"")</f>
        <v>104.76514115163491</v>
      </c>
      <c r="R130" s="53">
        <f t="shared" ref="R130:R133" si="225">IFERROR(R109-Q109,"")</f>
        <v>80.520491279238286</v>
      </c>
      <c r="S130" s="53">
        <f t="shared" ref="S130:S133" si="226">IFERROR(S109-R109,"")</f>
        <v>81.438950784877079</v>
      </c>
      <c r="T130" s="53">
        <f t="shared" ref="T130:T133" si="227">IFERROR(T109-S109,"")</f>
        <v>82.318927948648252</v>
      </c>
    </row>
    <row r="131" spans="3:20" outlineLevel="4" x14ac:dyDescent="0.2">
      <c r="C131" s="61" t="s">
        <v>132</v>
      </c>
      <c r="E131" s="1"/>
      <c r="F131" s="53">
        <f t="shared" ref="F131:H131" si="228">IFERROR(F110-E110,"")</f>
        <v>0</v>
      </c>
      <c r="G131" s="53">
        <f t="shared" si="228"/>
        <v>0</v>
      </c>
      <c r="H131" s="53">
        <f t="shared" si="228"/>
        <v>0</v>
      </c>
      <c r="I131" s="53"/>
      <c r="J131" s="53">
        <f t="shared" si="217"/>
        <v>-3.3373177715149041</v>
      </c>
      <c r="K131" s="53">
        <f t="shared" si="218"/>
        <v>-6.1058510746272532</v>
      </c>
      <c r="L131" s="53">
        <f t="shared" si="219"/>
        <v>-8.8075201282413786</v>
      </c>
      <c r="M131" s="53">
        <f t="shared" si="220"/>
        <v>-11.443396407244677</v>
      </c>
      <c r="N131" s="53">
        <f t="shared" si="221"/>
        <v>-14.014537091573629</v>
      </c>
      <c r="O131" s="53">
        <f t="shared" si="222"/>
        <v>-16.521985237804415</v>
      </c>
      <c r="P131" s="53">
        <f t="shared" si="223"/>
        <v>-18.966769948821081</v>
      </c>
      <c r="Q131" s="53">
        <f t="shared" si="224"/>
        <v>-21.349906541581788</v>
      </c>
      <c r="R131" s="53">
        <f t="shared" si="225"/>
        <v>-27.634636152496171</v>
      </c>
      <c r="S131" s="53">
        <f t="shared" si="226"/>
        <v>-28.960618640452765</v>
      </c>
      <c r="T131" s="53">
        <f t="shared" si="227"/>
        <v>-30.249641533136241</v>
      </c>
    </row>
    <row r="132" spans="3:20" outlineLevel="4" x14ac:dyDescent="0.2">
      <c r="C132" s="61" t="s">
        <v>133</v>
      </c>
      <c r="E132" s="1"/>
      <c r="F132" s="53">
        <f t="shared" ref="F132:H132" si="229">IFERROR(F111-E111,"")</f>
        <v>0</v>
      </c>
      <c r="G132" s="53">
        <f t="shared" si="229"/>
        <v>0</v>
      </c>
      <c r="H132" s="53">
        <f t="shared" si="229"/>
        <v>0</v>
      </c>
      <c r="I132" s="53"/>
      <c r="J132" s="53">
        <f t="shared" si="217"/>
        <v>36.280905814326218</v>
      </c>
      <c r="K132" s="53">
        <f t="shared" si="218"/>
        <v>37.538664815119091</v>
      </c>
      <c r="L132" s="53">
        <f t="shared" si="219"/>
        <v>38.759074941720087</v>
      </c>
      <c r="M132" s="53">
        <f t="shared" si="220"/>
        <v>39.942772501557442</v>
      </c>
      <c r="N132" s="53">
        <f t="shared" si="221"/>
        <v>41.09038505769297</v>
      </c>
      <c r="O132" s="53">
        <f t="shared" si="222"/>
        <v>42.202531535637945</v>
      </c>
      <c r="P132" s="53">
        <f t="shared" si="223"/>
        <v>43.279822328958403</v>
      </c>
      <c r="Q132" s="53">
        <f t="shared" si="224"/>
        <v>44.322859403684447</v>
      </c>
      <c r="R132" s="53">
        <f t="shared" si="225"/>
        <v>35.646762216107504</v>
      </c>
      <c r="S132" s="53">
        <f t="shared" si="226"/>
        <v>36.195729695508248</v>
      </c>
      <c r="T132" s="53">
        <f t="shared" si="227"/>
        <v>36.724315463288917</v>
      </c>
    </row>
    <row r="133" spans="3:20" outlineLevel="4" x14ac:dyDescent="0.2">
      <c r="C133" s="61" t="s">
        <v>27</v>
      </c>
      <c r="E133" s="1"/>
      <c r="F133" s="53">
        <f t="shared" ref="F133:H133" si="230">IFERROR(F112-E112,"")</f>
        <v>0</v>
      </c>
      <c r="G133" s="53">
        <f t="shared" si="230"/>
        <v>0</v>
      </c>
      <c r="H133" s="53">
        <f t="shared" si="230"/>
        <v>0</v>
      </c>
      <c r="I133" s="53"/>
      <c r="J133" s="53">
        <f t="shared" si="217"/>
        <v>281.67919641762819</v>
      </c>
      <c r="K133" s="53">
        <f t="shared" si="218"/>
        <v>273.99025005299336</v>
      </c>
      <c r="L133" s="53">
        <f t="shared" si="219"/>
        <v>266.42865348993382</v>
      </c>
      <c r="M133" s="53">
        <f t="shared" si="220"/>
        <v>258.99268239116282</v>
      </c>
      <c r="N133" s="53">
        <f t="shared" si="221"/>
        <v>251.68063328906919</v>
      </c>
      <c r="O133" s="53">
        <f t="shared" si="222"/>
        <v>244.49082335071671</v>
      </c>
      <c r="P133" s="53">
        <f t="shared" si="223"/>
        <v>237.421590145349</v>
      </c>
      <c r="Q133" s="53">
        <f t="shared" si="224"/>
        <v>230.47129141439564</v>
      </c>
      <c r="R133" s="53">
        <f t="shared" si="225"/>
        <v>116.51109036877915</v>
      </c>
      <c r="S133" s="53">
        <f t="shared" si="226"/>
        <v>112.38130246808032</v>
      </c>
      <c r="T133" s="53">
        <f t="shared" si="227"/>
        <v>108.32410972276193</v>
      </c>
    </row>
    <row r="134" spans="3:20" outlineLevel="4" x14ac:dyDescent="0.2">
      <c r="C134" s="2"/>
      <c r="E134" s="1"/>
      <c r="F134" s="1"/>
      <c r="G134" s="1"/>
      <c r="H134" s="1"/>
      <c r="I134" s="1"/>
      <c r="J134" s="1"/>
      <c r="K134" s="1"/>
      <c r="L134" s="1"/>
      <c r="M134" s="1"/>
      <c r="N134" s="1"/>
      <c r="O134" s="1"/>
      <c r="P134" s="1"/>
      <c r="Q134" s="1"/>
      <c r="R134" s="1"/>
      <c r="S134" s="1"/>
      <c r="T134" s="1"/>
    </row>
    <row r="135" spans="3:20" outlineLevel="4" x14ac:dyDescent="0.2">
      <c r="C135" s="2" t="s">
        <v>153</v>
      </c>
      <c r="E135" s="1"/>
      <c r="F135" s="1"/>
      <c r="G135" s="1"/>
      <c r="H135" s="1"/>
      <c r="I135" s="1"/>
      <c r="J135" s="1"/>
      <c r="K135" s="1"/>
      <c r="L135" s="1"/>
      <c r="M135" s="1"/>
      <c r="N135" s="1"/>
      <c r="O135" s="1"/>
      <c r="P135" s="1"/>
      <c r="Q135" s="1"/>
      <c r="R135" s="1"/>
      <c r="S135" s="1"/>
      <c r="T135" s="1"/>
    </row>
    <row r="136" spans="3:20" outlineLevel="4" x14ac:dyDescent="0.2">
      <c r="E136" s="1"/>
      <c r="F136" s="1"/>
      <c r="G136" s="1"/>
      <c r="H136" s="1"/>
      <c r="I136" s="1"/>
      <c r="J136" s="1"/>
      <c r="K136" s="1"/>
      <c r="L136" s="1"/>
      <c r="M136" s="1"/>
      <c r="N136" s="1"/>
      <c r="O136" s="1"/>
      <c r="P136" s="1"/>
      <c r="Q136" s="1"/>
      <c r="R136" s="1"/>
      <c r="S136" s="1"/>
      <c r="T136" s="1"/>
    </row>
    <row r="137" spans="3:20" outlineLevel="4" x14ac:dyDescent="0.2">
      <c r="C137" s="59" t="s">
        <v>159</v>
      </c>
      <c r="D137" s="43" t="s">
        <v>395</v>
      </c>
      <c r="E137" s="1"/>
      <c r="F137" s="249">
        <v>133.29145524571408</v>
      </c>
      <c r="G137" s="249">
        <v>129.6666157352505</v>
      </c>
      <c r="H137" s="249">
        <v>128.07646608524132</v>
      </c>
      <c r="I137" s="249">
        <v>142.41034468504449</v>
      </c>
      <c r="J137" s="21">
        <f>I137*(1+J138)</f>
        <v>152.37906881299762</v>
      </c>
      <c r="K137" s="21">
        <f t="shared" ref="K137" si="231">J137*(1+K138)</f>
        <v>163.04560362990745</v>
      </c>
      <c r="L137" s="21">
        <f t="shared" ref="L137" si="232">K137*(1+L138)</f>
        <v>174.45879588400098</v>
      </c>
      <c r="M137" s="21">
        <f t="shared" ref="M137" si="233">L137*(1+M138)</f>
        <v>186.67091159588105</v>
      </c>
      <c r="N137" s="21">
        <f t="shared" ref="N137" si="234">M137*(1+N138)</f>
        <v>199.73787540759272</v>
      </c>
      <c r="O137" s="21">
        <f t="shared" ref="O137" si="235">N137*(1+O138)</f>
        <v>213.71952668612423</v>
      </c>
      <c r="P137" s="21">
        <f t="shared" ref="P137" si="236">O137*(1+P138)</f>
        <v>228.67989355415293</v>
      </c>
      <c r="Q137" s="21">
        <f t="shared" ref="Q137" si="237">P137*(1+Q138)</f>
        <v>244.68748610294364</v>
      </c>
      <c r="R137" s="21">
        <f t="shared" ref="R137" si="238">Q137*(1+R138)</f>
        <v>261.81561013014971</v>
      </c>
      <c r="S137" s="21">
        <f t="shared" ref="S137" si="239">R137*(1+S138)</f>
        <v>280.14270283926021</v>
      </c>
      <c r="T137" s="21">
        <f t="shared" ref="T137" si="240">S137*(1+T138)</f>
        <v>299.75269203800843</v>
      </c>
    </row>
    <row r="138" spans="3:20" outlineLevel="4" x14ac:dyDescent="0.2">
      <c r="C138" s="60" t="s">
        <v>142</v>
      </c>
      <c r="E138" s="1"/>
      <c r="F138" s="1"/>
      <c r="G138" s="52">
        <f>IFERROR(G137/F137-1,"")</f>
        <v>-2.7194837836989727E-2</v>
      </c>
      <c r="H138" s="52">
        <f t="shared" ref="H138:I138" si="241">IFERROR(H137/G137-1,"")</f>
        <v>-1.2263369726992046E-2</v>
      </c>
      <c r="I138" s="52">
        <f t="shared" si="241"/>
        <v>0.11191656857758137</v>
      </c>
      <c r="J138" s="73">
        <v>7.0000000000000007E-2</v>
      </c>
      <c r="K138" s="73">
        <v>7.0000000000000007E-2</v>
      </c>
      <c r="L138" s="73">
        <v>7.0000000000000007E-2</v>
      </c>
      <c r="M138" s="73">
        <v>7.0000000000000007E-2</v>
      </c>
      <c r="N138" s="73">
        <v>7.0000000000000007E-2</v>
      </c>
      <c r="O138" s="73">
        <v>7.0000000000000007E-2</v>
      </c>
      <c r="P138" s="73">
        <v>7.0000000000000007E-2</v>
      </c>
      <c r="Q138" s="73">
        <v>7.0000000000000007E-2</v>
      </c>
      <c r="R138" s="73">
        <v>7.0000000000000007E-2</v>
      </c>
      <c r="S138" s="73">
        <v>7.0000000000000007E-2</v>
      </c>
      <c r="T138" s="73">
        <v>7.0000000000000007E-2</v>
      </c>
    </row>
    <row r="139" spans="3:20" outlineLevel="4" x14ac:dyDescent="0.2">
      <c r="E139" s="1"/>
      <c r="F139" s="1"/>
      <c r="G139" s="1"/>
      <c r="H139" s="1"/>
      <c r="I139" s="1"/>
      <c r="J139" s="1"/>
      <c r="K139" s="1"/>
      <c r="L139" s="1"/>
      <c r="M139" s="1"/>
      <c r="N139" s="1"/>
      <c r="O139" s="1"/>
      <c r="P139" s="1"/>
      <c r="Q139" s="1"/>
      <c r="R139" s="1"/>
      <c r="S139" s="1"/>
      <c r="T139" s="1"/>
    </row>
    <row r="140" spans="3:20" outlineLevel="4" x14ac:dyDescent="0.2">
      <c r="C140" s="59" t="s">
        <v>602</v>
      </c>
      <c r="E140" s="1"/>
      <c r="F140" s="279">
        <f>F137/F91</f>
        <v>1.5681347675966362</v>
      </c>
      <c r="G140" s="279">
        <f t="shared" ref="G140:T140" si="242">G137/G91</f>
        <v>1.3649117445815842</v>
      </c>
      <c r="H140" s="279">
        <f t="shared" si="242"/>
        <v>1.1969763185536573</v>
      </c>
      <c r="I140" s="279">
        <f t="shared" si="242"/>
        <v>1.1769449973970618</v>
      </c>
      <c r="J140" s="279">
        <f t="shared" si="242"/>
        <v>1.049442622679047</v>
      </c>
      <c r="K140" s="279">
        <f t="shared" si="242"/>
        <v>0.99372000554564643</v>
      </c>
      <c r="L140" s="279">
        <f t="shared" si="242"/>
        <v>0.94935750529807295</v>
      </c>
      <c r="M140" s="279">
        <f t="shared" si="242"/>
        <v>0.91514642402607027</v>
      </c>
      <c r="N140" s="279">
        <f t="shared" si="242"/>
        <v>0.89835474652100467</v>
      </c>
      <c r="O140" s="279">
        <f t="shared" si="242"/>
        <v>0.88187117319034403</v>
      </c>
      <c r="P140" s="279">
        <f t="shared" si="242"/>
        <v>0.86569005074648442</v>
      </c>
      <c r="Q140" s="279">
        <f t="shared" si="242"/>
        <v>0.84980582963187001</v>
      </c>
      <c r="R140" s="279">
        <f t="shared" si="242"/>
        <v>0.83421306211568891</v>
      </c>
      <c r="S140" s="279">
        <f t="shared" si="242"/>
        <v>0.81890640042549279</v>
      </c>
      <c r="T140" s="279">
        <f t="shared" si="242"/>
        <v>0.80388059491309838</v>
      </c>
    </row>
    <row r="141" spans="3:20" outlineLevel="4" x14ac:dyDescent="0.2">
      <c r="E141" s="1"/>
      <c r="F141" s="1"/>
      <c r="G141" s="1"/>
      <c r="H141" s="1"/>
      <c r="I141" s="1"/>
      <c r="J141" s="1"/>
      <c r="K141" s="1"/>
      <c r="L141" s="1"/>
      <c r="M141" s="1"/>
      <c r="N141" s="1"/>
      <c r="O141" s="1"/>
      <c r="P141" s="1"/>
      <c r="Q141" s="1"/>
      <c r="R141" s="1"/>
      <c r="S141" s="1"/>
      <c r="T141" s="1"/>
    </row>
    <row r="142" spans="3:20" outlineLevel="4" x14ac:dyDescent="0.2">
      <c r="C142" s="59" t="s">
        <v>159</v>
      </c>
      <c r="D142" s="43" t="s">
        <v>144</v>
      </c>
      <c r="E142" s="1"/>
      <c r="F142" s="21">
        <f>F137/F$37</f>
        <v>4.8842599943464302</v>
      </c>
      <c r="G142" s="21">
        <f>G137/G$37</f>
        <v>4.0094810060374302</v>
      </c>
      <c r="H142" s="21">
        <f>H137/H$37</f>
        <v>3.5022276752868833</v>
      </c>
      <c r="I142" s="21">
        <f>I137/I$37</f>
        <v>3.5460743198467255</v>
      </c>
      <c r="J142" s="21">
        <f>J137/J$37</f>
        <v>3.6425275413465568</v>
      </c>
      <c r="K142" s="21">
        <f t="shared" ref="K142:T142" si="243">K137/K$37</f>
        <v>3.7416042904711833</v>
      </c>
      <c r="L142" s="21">
        <f t="shared" si="243"/>
        <v>3.8433759271719992</v>
      </c>
      <c r="M142" s="21">
        <f t="shared" si="243"/>
        <v>3.9479157523910779</v>
      </c>
      <c r="N142" s="21">
        <f t="shared" si="243"/>
        <v>4.0552990608561146</v>
      </c>
      <c r="O142" s="21">
        <f t="shared" si="243"/>
        <v>4.1656031953114017</v>
      </c>
      <c r="P142" s="21">
        <f t="shared" si="243"/>
        <v>4.2789076022238719</v>
      </c>
      <c r="Q142" s="21">
        <f t="shared" si="243"/>
        <v>4.3952938890043614</v>
      </c>
      <c r="R142" s="21">
        <f t="shared" si="243"/>
        <v>4.5148458827852798</v>
      </c>
      <c r="S142" s="21">
        <f t="shared" si="243"/>
        <v>4.6376496907970397</v>
      </c>
      <c r="T142" s="21">
        <f t="shared" si="243"/>
        <v>4.7637937623867197</v>
      </c>
    </row>
    <row r="143" spans="3:20" outlineLevel="4" x14ac:dyDescent="0.2">
      <c r="C143" s="60" t="s">
        <v>142</v>
      </c>
      <c r="E143" s="1"/>
      <c r="F143" s="1"/>
      <c r="G143" s="52">
        <f>IFERROR(G142/F142-1,"")</f>
        <v>-0.1791016426892843</v>
      </c>
      <c r="H143" s="52">
        <f t="shared" ref="H143:I143" si="244">IFERROR(H142/G142-1,"")</f>
        <v>-0.12651346395873453</v>
      </c>
      <c r="I143" s="52">
        <f t="shared" si="244"/>
        <v>1.2519644245073458E-2</v>
      </c>
      <c r="J143" s="52">
        <f>IFERROR(J142/I142-1,"")</f>
        <v>2.7200000000000113E-2</v>
      </c>
      <c r="K143" s="52">
        <f t="shared" ref="K143:T143" si="245">IFERROR(K142/J142-1,"")</f>
        <v>2.7200000000000113E-2</v>
      </c>
      <c r="L143" s="52">
        <f t="shared" si="245"/>
        <v>2.7199999999999891E-2</v>
      </c>
      <c r="M143" s="52">
        <f t="shared" si="245"/>
        <v>2.7200000000000113E-2</v>
      </c>
      <c r="N143" s="52">
        <f t="shared" si="245"/>
        <v>2.7199999999999891E-2</v>
      </c>
      <c r="O143" s="52">
        <f t="shared" si="245"/>
        <v>2.7200000000000113E-2</v>
      </c>
      <c r="P143" s="52">
        <f t="shared" si="245"/>
        <v>2.7200000000000113E-2</v>
      </c>
      <c r="Q143" s="52">
        <f t="shared" si="245"/>
        <v>2.7200000000000113E-2</v>
      </c>
      <c r="R143" s="52">
        <f t="shared" si="245"/>
        <v>2.7199999999999891E-2</v>
      </c>
      <c r="S143" s="52">
        <f t="shared" si="245"/>
        <v>2.7200000000000113E-2</v>
      </c>
      <c r="T143" s="52">
        <f t="shared" si="245"/>
        <v>2.7200000000000113E-2</v>
      </c>
    </row>
    <row r="144" spans="3:20" outlineLevel="4" x14ac:dyDescent="0.2">
      <c r="C144" s="61"/>
      <c r="E144" s="1"/>
      <c r="F144" s="1"/>
      <c r="G144" s="1"/>
      <c r="H144" s="1"/>
      <c r="I144" s="1"/>
      <c r="J144" s="1"/>
      <c r="K144" s="1"/>
      <c r="L144" s="1"/>
      <c r="M144" s="1"/>
      <c r="N144" s="1"/>
      <c r="O144" s="1"/>
      <c r="P144" s="1"/>
      <c r="Q144" s="1"/>
      <c r="R144" s="1"/>
      <c r="S144" s="1"/>
      <c r="T144" s="1"/>
    </row>
    <row r="145" spans="1:22" outlineLevel="4" x14ac:dyDescent="0.2">
      <c r="C145" s="59" t="s">
        <v>138</v>
      </c>
      <c r="D145" s="43" t="s">
        <v>145</v>
      </c>
      <c r="E145" s="1"/>
      <c r="F145" s="1"/>
      <c r="G145" s="1"/>
      <c r="H145" s="1"/>
      <c r="I145" s="13">
        <f>AVERAGE(I109,H109)</f>
        <v>1141.4285</v>
      </c>
      <c r="J145" s="13">
        <f t="shared" ref="J145:T145" si="246">AVERAGE(J109,I109)</f>
        <v>1174.0700559839645</v>
      </c>
      <c r="K145" s="13">
        <f t="shared" si="246"/>
        <v>1265.9764457380572</v>
      </c>
      <c r="L145" s="13">
        <f t="shared" si="246"/>
        <v>1360.0479780721089</v>
      </c>
      <c r="M145" s="13">
        <f t="shared" si="246"/>
        <v>1456.214442413499</v>
      </c>
      <c r="N145" s="13">
        <f t="shared" si="246"/>
        <v>1554.4068504799025</v>
      </c>
      <c r="O145" s="13">
        <f t="shared" si="246"/>
        <v>1654.557419316201</v>
      </c>
      <c r="P145" s="13">
        <f t="shared" si="246"/>
        <v>1756.5995545397739</v>
      </c>
      <c r="Q145" s="13">
        <f t="shared" si="246"/>
        <v>1860.4678337918026</v>
      </c>
      <c r="R145" s="13">
        <f t="shared" si="246"/>
        <v>1953.1106500072392</v>
      </c>
      <c r="S145" s="13">
        <f t="shared" si="246"/>
        <v>2034.0903710392968</v>
      </c>
      <c r="T145" s="13">
        <f t="shared" si="246"/>
        <v>2115.9693104060598</v>
      </c>
    </row>
    <row r="146" spans="1:22" outlineLevel="4" x14ac:dyDescent="0.2">
      <c r="C146" s="60" t="s">
        <v>142</v>
      </c>
      <c r="E146" s="1"/>
      <c r="F146" s="1"/>
      <c r="G146" s="1"/>
      <c r="H146" s="1"/>
      <c r="I146" s="52" t="str">
        <f t="shared" ref="I146" si="247">IFERROR(I145/H145-1,"")</f>
        <v/>
      </c>
      <c r="J146" s="52">
        <f>IFERROR(J145/I145-1,"")</f>
        <v>2.8597109660363662E-2</v>
      </c>
      <c r="K146" s="52">
        <f t="shared" ref="K146" si="248">IFERROR(K145/J145-1,"")</f>
        <v>7.8280158228775987E-2</v>
      </c>
      <c r="L146" s="52">
        <f t="shared" ref="L146" si="249">IFERROR(L145/K145-1,"")</f>
        <v>7.4307490199162718E-2</v>
      </c>
      <c r="M146" s="52">
        <f t="shared" ref="M146" si="250">IFERROR(M145/L145-1,"")</f>
        <v>7.0708141103748234E-2</v>
      </c>
      <c r="N146" s="52">
        <f t="shared" ref="N146" si="251">IFERROR(N145/M145-1,"")</f>
        <v>6.7429909501282914E-2</v>
      </c>
      <c r="O146" s="52">
        <f t="shared" ref="O146" si="252">IFERROR(O145/N145-1,"")</f>
        <v>6.443008714570353E-2</v>
      </c>
      <c r="P146" s="52">
        <f t="shared" ref="P146" si="253">IFERROR(P145/O145-1,"")</f>
        <v>6.1673372004064309E-2</v>
      </c>
      <c r="Q146" s="52">
        <f t="shared" ref="Q146" si="254">IFERROR(Q145/P145-1,"")</f>
        <v>5.9130311734163055E-2</v>
      </c>
      <c r="R146" s="52">
        <f t="shared" ref="R146" si="255">IFERROR(R145/Q145-1,"")</f>
        <v>4.9795440981434291E-2</v>
      </c>
      <c r="S146" s="52">
        <f t="shared" ref="S146" si="256">IFERROR(S145/R145-1,"")</f>
        <v>4.1461921797291579E-2</v>
      </c>
      <c r="T146" s="52">
        <f t="shared" ref="T146" si="257">IFERROR(T145/S145-1,"")</f>
        <v>4.0253343967666444E-2</v>
      </c>
    </row>
    <row r="147" spans="1:22" outlineLevel="4" x14ac:dyDescent="0.2">
      <c r="C147" s="61"/>
      <c r="E147" s="1"/>
      <c r="F147" s="1"/>
      <c r="G147" s="1"/>
      <c r="H147" s="1"/>
      <c r="I147" s="1"/>
      <c r="J147" s="1"/>
      <c r="K147" s="1"/>
      <c r="L147" s="1"/>
      <c r="M147" s="1"/>
      <c r="N147" s="1"/>
      <c r="O147" s="1"/>
      <c r="P147" s="1"/>
      <c r="Q147" s="1"/>
      <c r="R147" s="1"/>
      <c r="S147" s="1"/>
      <c r="T147" s="1"/>
    </row>
    <row r="148" spans="1:22" outlineLevel="4" x14ac:dyDescent="0.2">
      <c r="C148" s="61" t="s">
        <v>161</v>
      </c>
      <c r="D148" s="43" t="s">
        <v>406</v>
      </c>
      <c r="E148" s="164">
        <v>1602.1321720000001</v>
      </c>
      <c r="F148" s="164">
        <v>1859.26304867</v>
      </c>
      <c r="G148" s="164">
        <v>1834.3085515066666</v>
      </c>
      <c r="H148" s="164">
        <v>1773.8495776221021</v>
      </c>
      <c r="I148" s="13">
        <f>IFERROR(I137*I145*12/1000,"")</f>
        <v>1950.6147134199998</v>
      </c>
      <c r="J148" s="13">
        <f t="shared" ref="J148:T148" si="258">IFERROR(J137*J145*12/1000,"")</f>
        <v>2146.8444222247258</v>
      </c>
      <c r="K148" s="13">
        <f t="shared" si="258"/>
        <v>2476.9427253192757</v>
      </c>
      <c r="L148" s="13">
        <f t="shared" si="258"/>
        <v>2847.2679911871637</v>
      </c>
      <c r="M148" s="13">
        <f t="shared" si="258"/>
        <v>3261.9945293329856</v>
      </c>
      <c r="N148" s="13">
        <f t="shared" si="258"/>
        <v>3725.6870620063605</v>
      </c>
      <c r="O148" s="13">
        <f t="shared" si="258"/>
        <v>4243.3347423752848</v>
      </c>
      <c r="P148" s="13">
        <f t="shared" si="258"/>
        <v>4820.3879897931347</v>
      </c>
      <c r="Q148" s="13">
        <f t="shared" si="258"/>
        <v>5462.7983667108638</v>
      </c>
      <c r="R148" s="13">
        <f t="shared" si="258"/>
        <v>6136.2582778000633</v>
      </c>
      <c r="S148" s="13">
        <f t="shared" si="258"/>
        <v>6838.0268923471476</v>
      </c>
      <c r="T148" s="13">
        <f t="shared" si="258"/>
        <v>7611.2099647682962</v>
      </c>
    </row>
    <row r="149" spans="1:22" outlineLevel="4" x14ac:dyDescent="0.2">
      <c r="C149" s="61" t="s">
        <v>408</v>
      </c>
      <c r="D149" s="43" t="s">
        <v>406</v>
      </c>
      <c r="E149" s="1"/>
      <c r="F149" s="1"/>
      <c r="G149" s="1"/>
      <c r="H149" s="1"/>
      <c r="I149" s="13">
        <f>I150-I148</f>
        <v>57.385286579999956</v>
      </c>
      <c r="J149" s="88">
        <f>I149</f>
        <v>57.385286579999956</v>
      </c>
      <c r="K149" s="88">
        <f t="shared" ref="K149:O149" si="259">J149</f>
        <v>57.385286579999956</v>
      </c>
      <c r="L149" s="88">
        <f t="shared" si="259"/>
        <v>57.385286579999956</v>
      </c>
      <c r="M149" s="88">
        <f t="shared" si="259"/>
        <v>57.385286579999956</v>
      </c>
      <c r="N149" s="88">
        <f t="shared" si="259"/>
        <v>57.385286579999956</v>
      </c>
      <c r="O149" s="88">
        <f t="shared" si="259"/>
        <v>57.385286579999956</v>
      </c>
      <c r="P149" s="88">
        <f t="shared" ref="P149" si="260">O149</f>
        <v>57.385286579999956</v>
      </c>
      <c r="Q149" s="88">
        <f t="shared" ref="Q149" si="261">P149</f>
        <v>57.385286579999956</v>
      </c>
      <c r="R149" s="88">
        <f t="shared" ref="R149" si="262">Q149</f>
        <v>57.385286579999956</v>
      </c>
      <c r="S149" s="88">
        <f t="shared" ref="S149" si="263">R149</f>
        <v>57.385286579999956</v>
      </c>
      <c r="T149" s="88">
        <f t="shared" ref="T149" si="264">S149</f>
        <v>57.385286579999956</v>
      </c>
    </row>
    <row r="150" spans="1:22" s="2" customFormat="1" ht="13.5" outlineLevel="4" thickBot="1" x14ac:dyDescent="0.25">
      <c r="C150" s="62" t="s">
        <v>410</v>
      </c>
      <c r="D150" s="87" t="s">
        <v>406</v>
      </c>
      <c r="E150" s="106">
        <f>E148+E149</f>
        <v>1602.1321720000001</v>
      </c>
      <c r="F150" s="106">
        <f t="shared" ref="F150:G150" si="265">F148+F149</f>
        <v>1859.26304867</v>
      </c>
      <c r="G150" s="106">
        <f t="shared" si="265"/>
        <v>1834.3085515066666</v>
      </c>
      <c r="H150" s="106">
        <f>H148+H149</f>
        <v>1773.8495776221021</v>
      </c>
      <c r="I150" s="106">
        <f>I534</f>
        <v>2007.9999999999998</v>
      </c>
      <c r="J150" s="25">
        <f>J148+J149</f>
        <v>2204.2297088047258</v>
      </c>
      <c r="K150" s="25">
        <f t="shared" ref="K150" si="266">K148+K149</f>
        <v>2534.3280118992757</v>
      </c>
      <c r="L150" s="25">
        <f t="shared" ref="L150" si="267">L148+L149</f>
        <v>2904.6532777671637</v>
      </c>
      <c r="M150" s="25">
        <f t="shared" ref="M150" si="268">M148+M149</f>
        <v>3319.3798159129856</v>
      </c>
      <c r="N150" s="25">
        <f t="shared" ref="N150" si="269">N148+N149</f>
        <v>3783.0723485863605</v>
      </c>
      <c r="O150" s="25">
        <f t="shared" ref="O150" si="270">O148+O149</f>
        <v>4300.7200289552848</v>
      </c>
      <c r="P150" s="25">
        <f t="shared" ref="P150:T150" si="271">P148+P149</f>
        <v>4877.7732763731346</v>
      </c>
      <c r="Q150" s="25">
        <f t="shared" si="271"/>
        <v>5520.1836532908637</v>
      </c>
      <c r="R150" s="25">
        <f t="shared" si="271"/>
        <v>6193.6435643800633</v>
      </c>
      <c r="S150" s="25">
        <f t="shared" si="271"/>
        <v>6895.4121789271476</v>
      </c>
      <c r="T150" s="25">
        <f t="shared" si="271"/>
        <v>7668.5952513482962</v>
      </c>
    </row>
    <row r="151" spans="1:22" ht="13.5" outlineLevel="4" thickTop="1" x14ac:dyDescent="0.2">
      <c r="C151" s="84" t="s">
        <v>148</v>
      </c>
      <c r="E151" s="1"/>
      <c r="F151" s="85">
        <f>IFERROR(F150/E150-1,"")</f>
        <v>0.16049292384473746</v>
      </c>
      <c r="G151" s="85">
        <f t="shared" ref="G151:H151" si="272">IFERROR(G150/F150-1,"")</f>
        <v>-1.3421714147002661E-2</v>
      </c>
      <c r="H151" s="85">
        <f t="shared" si="272"/>
        <v>-3.2960089421654071E-2</v>
      </c>
      <c r="I151" s="85">
        <f>IFERROR(I150/H150-1,"")</f>
        <v>0.13200128428690294</v>
      </c>
      <c r="J151" s="85">
        <f t="shared" ref="J151" si="273">IFERROR(J150/I150-1,"")</f>
        <v>9.7723958568090685E-2</v>
      </c>
      <c r="K151" s="85">
        <f t="shared" ref="K151" si="274">IFERROR(K150/J150-1,"")</f>
        <v>0.14975676163694862</v>
      </c>
      <c r="L151" s="85">
        <f t="shared" ref="L151" si="275">IFERROR(L150/K150-1,"")</f>
        <v>0.14612365255370352</v>
      </c>
      <c r="M151" s="85">
        <f t="shared" ref="M151" si="276">IFERROR(M150/L150-1,"")</f>
        <v>0.1427800492816913</v>
      </c>
      <c r="N151" s="85">
        <f t="shared" ref="N151" si="277">IFERROR(N150/M150-1,"")</f>
        <v>0.13969252040711044</v>
      </c>
      <c r="O151" s="85">
        <f t="shared" ref="O151" si="278">IFERROR(O150/N150-1,"")</f>
        <v>0.13683261451829121</v>
      </c>
      <c r="P151" s="85">
        <f t="shared" ref="P151" si="279">IFERROR(P150/O150-1,"")</f>
        <v>0.13417596205582938</v>
      </c>
      <c r="Q151" s="85">
        <f t="shared" ref="Q151" si="280">IFERROR(Q150/P150-1,"")</f>
        <v>0.13170156555439427</v>
      </c>
      <c r="R151" s="85">
        <f t="shared" ref="R151" si="281">IFERROR(R150/Q150-1,"")</f>
        <v>0.12199954809251956</v>
      </c>
      <c r="S151" s="85">
        <f t="shared" ref="S151" si="282">IFERROR(S150/R150-1,"")</f>
        <v>0.11330464971910703</v>
      </c>
      <c r="T151" s="85">
        <f t="shared" ref="T151" si="283">IFERROR(T150/S150-1,"")</f>
        <v>0.11213007320781321</v>
      </c>
    </row>
    <row r="152" spans="1:22" outlineLevel="4" x14ac:dyDescent="0.2">
      <c r="C152" s="274" t="s">
        <v>442</v>
      </c>
      <c r="D152" s="275"/>
      <c r="E152" s="276">
        <v>1602.1321720000001</v>
      </c>
      <c r="F152" s="276">
        <v>1859.26304867</v>
      </c>
      <c r="G152" s="276">
        <v>1834.3085515066666</v>
      </c>
      <c r="H152" s="276">
        <v>1773.8495776221021</v>
      </c>
      <c r="I152" s="276">
        <v>1950.6147134199996</v>
      </c>
      <c r="J152" s="1"/>
      <c r="K152" s="1"/>
      <c r="L152" s="1"/>
      <c r="M152" s="1"/>
      <c r="N152" s="1"/>
      <c r="O152" s="1"/>
      <c r="P152" s="1"/>
      <c r="Q152" s="1"/>
      <c r="R152" s="1"/>
      <c r="S152" s="1"/>
      <c r="T152" s="1"/>
    </row>
    <row r="153" spans="1:22" outlineLevel="4" x14ac:dyDescent="0.2">
      <c r="A153" s="276"/>
      <c r="C153" s="274"/>
      <c r="D153" s="275"/>
      <c r="E153" s="276"/>
      <c r="F153" s="236">
        <f>F152/E152-1</f>
        <v>0.16049292384473746</v>
      </c>
      <c r="G153" s="236">
        <f>G152/F152-1</f>
        <v>-1.3421714147002661E-2</v>
      </c>
      <c r="H153" s="236">
        <f>H152/G152-1</f>
        <v>-3.2960089421654071E-2</v>
      </c>
      <c r="I153" s="236">
        <f>I152/H152-1</f>
        <v>9.9650578057952632E-2</v>
      </c>
      <c r="J153" s="1"/>
      <c r="K153" s="1"/>
      <c r="L153" s="1"/>
      <c r="M153" s="1"/>
      <c r="N153" s="1"/>
      <c r="O153" s="1"/>
      <c r="P153" s="1"/>
      <c r="Q153" s="1"/>
      <c r="R153" s="1"/>
      <c r="S153" s="1"/>
      <c r="T153" s="1"/>
    </row>
    <row r="154" spans="1:22" outlineLevel="4" x14ac:dyDescent="0.2">
      <c r="A154" s="1" t="s">
        <v>22</v>
      </c>
      <c r="C154" s="37" t="s">
        <v>162</v>
      </c>
      <c r="E154" s="1"/>
      <c r="F154" s="1"/>
      <c r="G154" s="1"/>
      <c r="H154" s="1"/>
      <c r="I154" s="1"/>
      <c r="J154" s="1"/>
      <c r="K154" s="1"/>
      <c r="L154" s="1"/>
      <c r="M154" s="1"/>
      <c r="N154" s="1"/>
      <c r="O154" s="1"/>
      <c r="P154" s="1"/>
      <c r="Q154" s="1"/>
      <c r="R154" s="1"/>
      <c r="S154" s="1"/>
      <c r="T154" s="1"/>
    </row>
    <row r="155" spans="1:22" outlineLevel="4" x14ac:dyDescent="0.2">
      <c r="E155" s="1"/>
      <c r="F155" s="1"/>
      <c r="G155" s="1"/>
      <c r="H155" s="1"/>
      <c r="I155" s="1"/>
      <c r="J155" s="1"/>
      <c r="K155" s="1"/>
      <c r="L155" s="1"/>
      <c r="M155" s="1"/>
      <c r="N155" s="1"/>
      <c r="O155" s="1"/>
      <c r="P155" s="1"/>
      <c r="Q155" s="1"/>
      <c r="R155" s="1"/>
      <c r="S155" s="1"/>
      <c r="T155" s="1"/>
    </row>
    <row r="156" spans="1:22" outlineLevel="4" x14ac:dyDescent="0.2">
      <c r="C156" s="3" t="s">
        <v>163</v>
      </c>
      <c r="E156" s="1"/>
      <c r="F156" s="1"/>
      <c r="G156" s="1"/>
      <c r="H156" s="145"/>
      <c r="I156" s="145"/>
      <c r="J156" s="1"/>
      <c r="K156" s="1"/>
      <c r="L156" s="1"/>
      <c r="M156" s="1"/>
      <c r="N156" s="1"/>
      <c r="O156" s="1"/>
      <c r="P156" s="1"/>
      <c r="Q156" s="1"/>
      <c r="R156" s="1"/>
      <c r="S156" s="1"/>
      <c r="T156" s="1"/>
    </row>
    <row r="157" spans="1:22" outlineLevel="4" x14ac:dyDescent="0.2">
      <c r="C157" s="3" t="s">
        <v>164</v>
      </c>
      <c r="E157" s="1"/>
      <c r="F157" s="1"/>
      <c r="G157" s="1"/>
      <c r="H157" s="52"/>
      <c r="I157" s="52"/>
      <c r="J157" s="52"/>
      <c r="K157" s="52"/>
      <c r="L157" s="52"/>
      <c r="M157" s="52"/>
      <c r="N157" s="52"/>
      <c r="O157" s="52"/>
      <c r="P157" s="52"/>
      <c r="Q157" s="52"/>
      <c r="R157" s="52"/>
      <c r="S157" s="52"/>
      <c r="T157" s="52"/>
    </row>
    <row r="158" spans="1:22" outlineLevel="4" x14ac:dyDescent="0.2">
      <c r="E158" s="1"/>
      <c r="F158" s="1"/>
      <c r="G158" s="1"/>
      <c r="H158" s="1"/>
      <c r="I158" s="13"/>
      <c r="J158" s="13"/>
      <c r="K158" s="1"/>
      <c r="L158" s="1"/>
      <c r="M158" s="1"/>
      <c r="N158" s="1"/>
      <c r="O158" s="1"/>
      <c r="P158" s="1"/>
      <c r="Q158" s="1"/>
      <c r="R158" s="1"/>
      <c r="S158" s="1"/>
      <c r="T158" s="1"/>
      <c r="V158" s="10" t="s">
        <v>822</v>
      </c>
    </row>
    <row r="159" spans="1:22" outlineLevel="4" x14ac:dyDescent="0.2">
      <c r="C159" s="2" t="s">
        <v>286</v>
      </c>
      <c r="E159" s="1"/>
      <c r="F159" s="1"/>
      <c r="G159" s="1"/>
      <c r="H159" s="1"/>
      <c r="I159" s="1"/>
      <c r="J159" s="1"/>
      <c r="K159" s="1"/>
      <c r="L159" s="1"/>
      <c r="M159" s="1"/>
      <c r="N159" s="1"/>
      <c r="O159" s="1"/>
      <c r="P159" s="1"/>
      <c r="Q159" s="1"/>
      <c r="R159" s="1"/>
      <c r="S159" s="1"/>
      <c r="T159" s="1"/>
      <c r="V159" s="437" t="s">
        <v>825</v>
      </c>
    </row>
    <row r="160" spans="1:22" outlineLevel="4" x14ac:dyDescent="0.2">
      <c r="C160" s="110" t="s">
        <v>164</v>
      </c>
      <c r="D160" s="43" t="s">
        <v>406</v>
      </c>
      <c r="E160" s="1"/>
      <c r="F160" s="1"/>
      <c r="G160" s="1"/>
      <c r="H160" s="13">
        <f>H227</f>
        <v>132.53865979381442</v>
      </c>
      <c r="I160" s="13">
        <f>I227</f>
        <v>205.7</v>
      </c>
      <c r="J160" s="13">
        <f>J227</f>
        <v>265.09212682215741</v>
      </c>
      <c r="K160" s="13">
        <f t="shared" ref="K160:O160" si="284">K227</f>
        <v>340.9090688046648</v>
      </c>
      <c r="L160" s="13">
        <f t="shared" si="284"/>
        <v>397.94856934402333</v>
      </c>
      <c r="M160" s="13">
        <f t="shared" si="284"/>
        <v>463.60150250728873</v>
      </c>
      <c r="N160" s="13">
        <f t="shared" si="284"/>
        <v>539.0816221342568</v>
      </c>
      <c r="O160" s="13">
        <f t="shared" si="284"/>
        <v>625.76544473848412</v>
      </c>
      <c r="P160" s="13">
        <f t="shared" ref="P160:T160" si="285">P227</f>
        <v>725.21327912684728</v>
      </c>
      <c r="Q160" s="13">
        <f t="shared" si="285"/>
        <v>839.19289577859399</v>
      </c>
      <c r="R160" s="13">
        <f t="shared" si="285"/>
        <v>969.70615978582714</v>
      </c>
      <c r="S160" s="13">
        <f t="shared" si="285"/>
        <v>1119.0189901347671</v>
      </c>
      <c r="T160" s="13">
        <f t="shared" si="285"/>
        <v>1289.6950517034875</v>
      </c>
      <c r="V160" s="546">
        <f>(T160/I160)^(1/11)-1</f>
        <v>0.18161915326151057</v>
      </c>
    </row>
    <row r="161" spans="3:22" outlineLevel="4" x14ac:dyDescent="0.2">
      <c r="C161" s="110" t="s">
        <v>165</v>
      </c>
      <c r="D161" s="43" t="s">
        <v>406</v>
      </c>
      <c r="E161" s="1"/>
      <c r="F161" s="1"/>
      <c r="G161" s="1"/>
      <c r="H161" s="13">
        <f>H249</f>
        <v>105.93306288032454</v>
      </c>
      <c r="I161" s="13">
        <f>I249</f>
        <v>208.9</v>
      </c>
      <c r="J161" s="13">
        <f>J249</f>
        <v>326.6436363636364</v>
      </c>
      <c r="K161" s="13">
        <f t="shared" ref="K161:O161" si="286">K249</f>
        <v>439.22174545454544</v>
      </c>
      <c r="L161" s="13">
        <f t="shared" si="286"/>
        <v>572.87064799999985</v>
      </c>
      <c r="M161" s="13">
        <f t="shared" si="286"/>
        <v>728.001936312407</v>
      </c>
      <c r="N161" s="13">
        <f t="shared" si="286"/>
        <v>904.5333356801068</v>
      </c>
      <c r="O161" s="13">
        <f t="shared" si="286"/>
        <v>1101.9261893982043</v>
      </c>
      <c r="P161" s="13">
        <f t="shared" ref="P161:T161" si="287">P249</f>
        <v>1319.2436617475846</v>
      </c>
      <c r="Q161" s="13">
        <f t="shared" si="287"/>
        <v>1555.2220742080949</v>
      </c>
      <c r="R161" s="13">
        <f t="shared" si="287"/>
        <v>1808.3482482852414</v>
      </c>
      <c r="S161" s="13">
        <f t="shared" si="287"/>
        <v>2076.9367982279982</v>
      </c>
      <c r="T161" s="13">
        <f t="shared" si="287"/>
        <v>2359.2026982178127</v>
      </c>
      <c r="V161" s="546">
        <f>(T161/I161)^(1/11)-1</f>
        <v>0.24655524030685494</v>
      </c>
    </row>
    <row r="162" spans="3:22" outlineLevel="4" x14ac:dyDescent="0.2">
      <c r="C162" s="110" t="s">
        <v>166</v>
      </c>
      <c r="D162" s="43" t="s">
        <v>406</v>
      </c>
      <c r="E162" s="1"/>
      <c r="F162" s="1"/>
      <c r="G162" s="1"/>
      <c r="H162" s="13">
        <f>H278</f>
        <v>157.52827732586104</v>
      </c>
      <c r="I162" s="13">
        <f>I278</f>
        <v>465.4</v>
      </c>
      <c r="J162" s="13">
        <f>J278</f>
        <v>930.8</v>
      </c>
      <c r="K162" s="13">
        <f t="shared" ref="K162:O162" si="288">K278</f>
        <v>1582.36</v>
      </c>
      <c r="L162" s="13">
        <f t="shared" si="288"/>
        <v>2357.7163999999998</v>
      </c>
      <c r="M162" s="13">
        <f t="shared" si="288"/>
        <v>3166.4131251999997</v>
      </c>
      <c r="N162" s="13">
        <f t="shared" si="288"/>
        <v>3926.6689165605194</v>
      </c>
      <c r="O162" s="13">
        <f t="shared" si="288"/>
        <v>4586.6241613668453</v>
      </c>
      <c r="P162" s="13">
        <f t="shared" ref="P162:T162" si="289">P278</f>
        <v>5126.2359073274929</v>
      </c>
      <c r="Q162" s="13">
        <f t="shared" si="289"/>
        <v>5548.4034771103134</v>
      </c>
      <c r="R162" s="13">
        <f t="shared" si="289"/>
        <v>5959.6448731378005</v>
      </c>
      <c r="S162" s="13">
        <f t="shared" si="289"/>
        <v>6357.1948023762407</v>
      </c>
      <c r="T162" s="13">
        <f t="shared" si="289"/>
        <v>6738.8571594250607</v>
      </c>
      <c r="V162" s="546">
        <f>(T162/I162)^(1/11)-1</f>
        <v>0.27503945757545134</v>
      </c>
    </row>
    <row r="163" spans="3:22" outlineLevel="4" x14ac:dyDescent="0.2">
      <c r="C163" s="110" t="s">
        <v>167</v>
      </c>
      <c r="D163" s="43" t="s">
        <v>406</v>
      </c>
      <c r="E163" s="1"/>
      <c r="F163" s="1"/>
      <c r="G163" s="1"/>
      <c r="H163" s="13"/>
      <c r="I163" s="13"/>
      <c r="J163" s="140">
        <f>J327*0.85</f>
        <v>3173.7482140525713</v>
      </c>
      <c r="K163" s="13">
        <f t="shared" ref="K163:O163" si="290">K327</f>
        <v>4834.6976043948443</v>
      </c>
      <c r="L163" s="13">
        <f t="shared" si="290"/>
        <v>5977.6716587129322</v>
      </c>
      <c r="M163" s="13">
        <f t="shared" si="290"/>
        <v>7141.3974869798576</v>
      </c>
      <c r="N163" s="13">
        <f t="shared" si="290"/>
        <v>8297.6727326013497</v>
      </c>
      <c r="O163" s="13">
        <f t="shared" si="290"/>
        <v>9410.0496871272699</v>
      </c>
      <c r="P163" s="13">
        <f t="shared" ref="P163:T163" si="291">P327</f>
        <v>10664.0404364736</v>
      </c>
      <c r="Q163" s="13">
        <f t="shared" si="291"/>
        <v>12076.962493622104</v>
      </c>
      <c r="R163" s="13">
        <f t="shared" si="291"/>
        <v>13668.184865585274</v>
      </c>
      <c r="S163" s="13">
        <f t="shared" si="291"/>
        <v>15459.36495493957</v>
      </c>
      <c r="T163" s="13">
        <f t="shared" si="291"/>
        <v>17474.71225291591</v>
      </c>
      <c r="V163" s="546"/>
    </row>
    <row r="164" spans="3:22" outlineLevel="4" x14ac:dyDescent="0.2">
      <c r="C164" s="110" t="s">
        <v>391</v>
      </c>
      <c r="D164" s="43" t="s">
        <v>406</v>
      </c>
      <c r="E164" s="1"/>
      <c r="F164" s="1"/>
      <c r="G164" s="1"/>
      <c r="H164" s="13">
        <f>H165-H163-H162-H161-H160</f>
        <v>0</v>
      </c>
      <c r="I164" s="13">
        <f>I165-I163-I162-I161-I160</f>
        <v>0</v>
      </c>
      <c r="J164" s="13"/>
      <c r="K164" s="13"/>
      <c r="L164" s="13"/>
      <c r="M164" s="13"/>
      <c r="N164" s="13"/>
      <c r="O164" s="13"/>
      <c r="P164" s="13"/>
      <c r="Q164" s="13"/>
      <c r="R164" s="13"/>
      <c r="S164" s="13"/>
      <c r="T164" s="13"/>
      <c r="V164" s="546"/>
    </row>
    <row r="165" spans="3:22" s="2" customFormat="1" outlineLevel="4" x14ac:dyDescent="0.2">
      <c r="C165" s="109" t="s">
        <v>168</v>
      </c>
      <c r="D165" s="45" t="s">
        <v>406</v>
      </c>
      <c r="E165" s="4"/>
      <c r="F165" s="4"/>
      <c r="G165" s="4"/>
      <c r="H165" s="16">
        <v>396</v>
      </c>
      <c r="I165" s="16">
        <v>880</v>
      </c>
      <c r="J165" s="23">
        <f>SUM(J160:J164)</f>
        <v>4696.283977238365</v>
      </c>
      <c r="K165" s="23">
        <f t="shared" ref="K165:O165" si="292">SUM(K160:K164)</f>
        <v>7197.1884186540547</v>
      </c>
      <c r="L165" s="23">
        <f t="shared" si="292"/>
        <v>9306.2072760569554</v>
      </c>
      <c r="M165" s="23">
        <f t="shared" si="292"/>
        <v>11499.414050999552</v>
      </c>
      <c r="N165" s="23">
        <f t="shared" si="292"/>
        <v>13667.956606976233</v>
      </c>
      <c r="O165" s="23">
        <f t="shared" si="292"/>
        <v>15724.365482630805</v>
      </c>
      <c r="P165" s="23">
        <f t="shared" ref="P165:T165" si="293">SUM(P160:P164)</f>
        <v>17834.733284675523</v>
      </c>
      <c r="Q165" s="23">
        <f t="shared" si="293"/>
        <v>20019.780940719109</v>
      </c>
      <c r="R165" s="23">
        <f t="shared" si="293"/>
        <v>22405.884146794142</v>
      </c>
      <c r="S165" s="23">
        <f t="shared" si="293"/>
        <v>25012.515545678576</v>
      </c>
      <c r="T165" s="23">
        <f t="shared" si="293"/>
        <v>27862.46716226227</v>
      </c>
      <c r="V165" s="546">
        <f>(T165/I165)^(1/11)-1</f>
        <v>0.36902836128031979</v>
      </c>
    </row>
    <row r="166" spans="3:22" outlineLevel="4" x14ac:dyDescent="0.2">
      <c r="C166" s="108" t="s">
        <v>148</v>
      </c>
      <c r="E166" s="1"/>
      <c r="F166" s="1"/>
      <c r="G166" s="1"/>
      <c r="H166" s="1"/>
      <c r="I166" s="52">
        <f>IFERROR(I165/H165-1,"")</f>
        <v>1.2222222222222223</v>
      </c>
      <c r="J166" s="52">
        <f>IFERROR(J165/I165-1,"")</f>
        <v>4.3366863377708693</v>
      </c>
      <c r="K166" s="52">
        <f t="shared" ref="K166:O166" si="294">IFERROR(K165/J165-1,"")</f>
        <v>0.53252836786210245</v>
      </c>
      <c r="L166" s="52">
        <f t="shared" si="294"/>
        <v>0.29303371465677253</v>
      </c>
      <c r="M166" s="52">
        <f t="shared" si="294"/>
        <v>0.23567138683717981</v>
      </c>
      <c r="N166" s="52">
        <f t="shared" si="294"/>
        <v>0.18857852638049732</v>
      </c>
      <c r="O166" s="52">
        <f t="shared" si="294"/>
        <v>0.15045474131846182</v>
      </c>
      <c r="P166" s="52">
        <f t="shared" ref="P166" si="295">IFERROR(P165/O165-1,"")</f>
        <v>0.13421004519233781</v>
      </c>
      <c r="Q166" s="52">
        <f t="shared" ref="Q166" si="296">IFERROR(Q165/P165-1,"")</f>
        <v>0.12251641901037491</v>
      </c>
      <c r="R166" s="52">
        <f t="shared" ref="R166" si="297">IFERROR(R165/Q165-1,"")</f>
        <v>0.11918727847924826</v>
      </c>
      <c r="S166" s="52">
        <f t="shared" ref="S166" si="298">IFERROR(S165/R165-1,"")</f>
        <v>0.11633691318793127</v>
      </c>
      <c r="T166" s="52">
        <f t="shared" ref="T166" si="299">IFERROR(T165/S165-1,"")</f>
        <v>0.11394102330007683</v>
      </c>
    </row>
    <row r="167" spans="3:22" outlineLevel="4" x14ac:dyDescent="0.2">
      <c r="C167" s="108" t="s">
        <v>241</v>
      </c>
      <c r="E167" s="1"/>
      <c r="F167" s="1"/>
      <c r="G167" s="1"/>
      <c r="H167" s="52">
        <f t="shared" ref="H167:T167" si="300">IFERROR(H165/H$537,"")</f>
        <v>1.1834478677765973E-2</v>
      </c>
      <c r="I167" s="52">
        <f t="shared" si="300"/>
        <v>2.384368944244784E-2</v>
      </c>
      <c r="J167" s="52">
        <f t="shared" si="300"/>
        <v>0.10872400614093583</v>
      </c>
      <c r="K167" s="52">
        <f t="shared" si="300"/>
        <v>0.14723741103152396</v>
      </c>
      <c r="L167" s="52">
        <f t="shared" si="300"/>
        <v>0.16965364950411729</v>
      </c>
      <c r="M167" s="52">
        <f t="shared" si="300"/>
        <v>0.18840846564939159</v>
      </c>
      <c r="N167" s="52">
        <f t="shared" si="300"/>
        <v>0.20473568847119475</v>
      </c>
      <c r="O167" s="52">
        <f t="shared" si="300"/>
        <v>0.21537707761576713</v>
      </c>
      <c r="P167" s="52">
        <f t="shared" si="300"/>
        <v>0.22341009419005653</v>
      </c>
      <c r="Q167" s="52">
        <f t="shared" si="300"/>
        <v>0.22939327372880006</v>
      </c>
      <c r="R167" s="52">
        <f t="shared" si="300"/>
        <v>0.23498026482914955</v>
      </c>
      <c r="S167" s="52">
        <f t="shared" si="300"/>
        <v>0.24023290355590665</v>
      </c>
      <c r="T167" s="52">
        <f t="shared" si="300"/>
        <v>0.2451178804312015</v>
      </c>
    </row>
    <row r="168" spans="3:22" outlineLevel="4" x14ac:dyDescent="0.2">
      <c r="C168" s="108" t="s">
        <v>975</v>
      </c>
      <c r="E168" s="1"/>
      <c r="F168" s="1"/>
      <c r="G168" s="1"/>
      <c r="H168" s="52"/>
      <c r="I168" s="52">
        <f>(I167-H167)/4</f>
        <v>3.0023026911704669E-3</v>
      </c>
      <c r="J168" s="52">
        <f>(J167-I167)/4</f>
        <v>2.1220079174621997E-2</v>
      </c>
      <c r="K168" s="52">
        <f t="shared" ref="K168:T168" si="301">(K167-J167)/4</f>
        <v>9.628351222647033E-3</v>
      </c>
      <c r="L168" s="52">
        <f t="shared" si="301"/>
        <v>5.6040596181483326E-3</v>
      </c>
      <c r="M168" s="52">
        <f t="shared" si="301"/>
        <v>4.688704036318575E-3</v>
      </c>
      <c r="N168" s="52">
        <f t="shared" si="301"/>
        <v>4.0818057054507889E-3</v>
      </c>
      <c r="O168" s="52">
        <f t="shared" si="301"/>
        <v>2.6603472861430957E-3</v>
      </c>
      <c r="P168" s="52">
        <f t="shared" si="301"/>
        <v>2.0082541435723494E-3</v>
      </c>
      <c r="Q168" s="52">
        <f t="shared" si="301"/>
        <v>1.4957948846858818E-3</v>
      </c>
      <c r="R168" s="52">
        <f t="shared" si="301"/>
        <v>1.396747775087373E-3</v>
      </c>
      <c r="S168" s="52">
        <f t="shared" si="301"/>
        <v>1.3131596816892757E-3</v>
      </c>
      <c r="T168" s="52">
        <f t="shared" si="301"/>
        <v>1.2212442188237124E-3</v>
      </c>
    </row>
    <row r="169" spans="3:22" s="58" customFormat="1" outlineLevel="4" x14ac:dyDescent="0.2">
      <c r="C169" s="493" t="s">
        <v>1010</v>
      </c>
      <c r="D169" s="43"/>
      <c r="H169" s="99"/>
      <c r="I169" s="99"/>
      <c r="J169" s="58" t="s">
        <v>1042</v>
      </c>
    </row>
    <row r="170" spans="3:22" s="58" customFormat="1" outlineLevel="4" x14ac:dyDescent="0.2">
      <c r="C170" s="493"/>
      <c r="D170" s="43"/>
      <c r="H170" s="99"/>
      <c r="I170" s="99"/>
      <c r="J170" s="99">
        <f t="shared" ref="J170:T170" si="302">SUM(J160:J162)/SUM(I160:I162)-1</f>
        <v>0.73015427634749286</v>
      </c>
      <c r="K170" s="99">
        <f t="shared" si="302"/>
        <v>0.55168165594736029</v>
      </c>
      <c r="L170" s="99">
        <f t="shared" si="302"/>
        <v>0.40890944305649235</v>
      </c>
      <c r="M170" s="99">
        <f t="shared" si="302"/>
        <v>0.30928944888297094</v>
      </c>
      <c r="N170" s="99">
        <f t="shared" si="302"/>
        <v>0.23227706813062343</v>
      </c>
      <c r="O170" s="99">
        <f t="shared" si="302"/>
        <v>0.1757880855485574</v>
      </c>
      <c r="P170" s="99">
        <f t="shared" si="302"/>
        <v>0.13562467897285435</v>
      </c>
      <c r="Q170" s="99">
        <f t="shared" si="302"/>
        <v>0.10767796295844567</v>
      </c>
      <c r="R170" s="99">
        <f t="shared" si="302"/>
        <v>0.10007541270219811</v>
      </c>
      <c r="S170" s="99">
        <f t="shared" si="302"/>
        <v>9.3325632215774723E-2</v>
      </c>
      <c r="T170" s="99">
        <f t="shared" si="302"/>
        <v>8.7364300466113765E-2</v>
      </c>
    </row>
    <row r="171" spans="3:22" outlineLevel="4" x14ac:dyDescent="0.2">
      <c r="C171" s="342" t="s">
        <v>142</v>
      </c>
      <c r="E171" s="58"/>
      <c r="F171" s="58"/>
      <c r="G171" s="58"/>
      <c r="H171" s="58"/>
      <c r="I171" s="58"/>
      <c r="J171" s="58"/>
      <c r="K171" s="58"/>
      <c r="L171" s="58"/>
      <c r="M171" s="58"/>
      <c r="N171" s="58"/>
      <c r="O171" s="58"/>
      <c r="P171" s="58"/>
      <c r="Q171" s="58"/>
      <c r="R171" s="58"/>
      <c r="S171" s="58"/>
      <c r="T171" s="58"/>
    </row>
    <row r="172" spans="3:22" outlineLevel="4" x14ac:dyDescent="0.2">
      <c r="C172" s="506" t="s">
        <v>164</v>
      </c>
      <c r="E172" s="58"/>
      <c r="F172" s="58"/>
      <c r="G172" s="58"/>
      <c r="H172" s="58"/>
      <c r="I172" s="99">
        <f t="shared" ref="I172:T172" si="303">IFERROR(I160/H160-1,"")</f>
        <v>0.55200000000000005</v>
      </c>
      <c r="J172" s="99">
        <f t="shared" si="303"/>
        <v>0.288731778425656</v>
      </c>
      <c r="K172" s="99">
        <f t="shared" si="303"/>
        <v>0.28600223964165772</v>
      </c>
      <c r="L172" s="99">
        <f t="shared" si="303"/>
        <v>0.16731587909748802</v>
      </c>
      <c r="M172" s="99">
        <f t="shared" si="303"/>
        <v>0.16497843746865937</v>
      </c>
      <c r="N172" s="99">
        <f t="shared" si="303"/>
        <v>0.16281250000000025</v>
      </c>
      <c r="O172" s="99">
        <f t="shared" si="303"/>
        <v>0.1607990683508016</v>
      </c>
      <c r="P172" s="99">
        <f t="shared" si="303"/>
        <v>0.15892190152801389</v>
      </c>
      <c r="Q172" s="99">
        <f t="shared" si="303"/>
        <v>0.15716702924824744</v>
      </c>
      <c r="R172" s="99">
        <f t="shared" si="303"/>
        <v>0.15552236519607843</v>
      </c>
      <c r="S172" s="99">
        <f t="shared" si="303"/>
        <v>0.15397739701057245</v>
      </c>
      <c r="T172" s="99">
        <f t="shared" si="303"/>
        <v>0.15252293577981657</v>
      </c>
    </row>
    <row r="173" spans="3:22" outlineLevel="4" x14ac:dyDescent="0.2">
      <c r="C173" s="506" t="s">
        <v>165</v>
      </c>
      <c r="E173" s="58"/>
      <c r="F173" s="58"/>
      <c r="G173" s="58"/>
      <c r="H173" s="58"/>
      <c r="I173" s="99">
        <f t="shared" ref="I173:T173" si="304">IFERROR(I161/H161-1,"")</f>
        <v>0.9720000000000002</v>
      </c>
      <c r="J173" s="99">
        <f t="shared" si="304"/>
        <v>0.56363636363636371</v>
      </c>
      <c r="K173" s="99">
        <f t="shared" si="304"/>
        <v>0.34465116279069741</v>
      </c>
      <c r="L173" s="99">
        <f t="shared" si="304"/>
        <v>0.30428571428571405</v>
      </c>
      <c r="M173" s="99">
        <f t="shared" si="304"/>
        <v>0.2707963636363635</v>
      </c>
      <c r="N173" s="99">
        <f t="shared" si="304"/>
        <v>0.2424875409836067</v>
      </c>
      <c r="O173" s="99">
        <f t="shared" si="304"/>
        <v>0.2182261791044775</v>
      </c>
      <c r="P173" s="99">
        <f t="shared" si="304"/>
        <v>0.19721599726027383</v>
      </c>
      <c r="Q173" s="99">
        <f t="shared" si="304"/>
        <v>0.17887401645569612</v>
      </c>
      <c r="R173" s="99">
        <f t="shared" si="304"/>
        <v>0.16275886143529439</v>
      </c>
      <c r="S173" s="99">
        <f t="shared" si="304"/>
        <v>0.14852700534725249</v>
      </c>
      <c r="T173" s="99">
        <f t="shared" si="304"/>
        <v>0.13590490583567028</v>
      </c>
    </row>
    <row r="174" spans="3:22" outlineLevel="4" x14ac:dyDescent="0.2">
      <c r="C174" s="506" t="s">
        <v>166</v>
      </c>
      <c r="E174" s="58"/>
      <c r="F174" s="58"/>
      <c r="G174" s="58"/>
      <c r="H174" s="58"/>
      <c r="I174" s="99">
        <f t="shared" ref="I174:T174" si="305">IFERROR(I162/H162-1,"")</f>
        <v>1.9543902079071129</v>
      </c>
      <c r="J174" s="99">
        <f t="shared" si="305"/>
        <v>1</v>
      </c>
      <c r="K174" s="99">
        <f t="shared" si="305"/>
        <v>0.7</v>
      </c>
      <c r="L174" s="99">
        <f t="shared" si="305"/>
        <v>0.49</v>
      </c>
      <c r="M174" s="99">
        <f t="shared" si="305"/>
        <v>0.34299999999999997</v>
      </c>
      <c r="N174" s="99">
        <f t="shared" si="305"/>
        <v>0.24009999999999998</v>
      </c>
      <c r="O174" s="99">
        <f t="shared" si="305"/>
        <v>0.16806999999999994</v>
      </c>
      <c r="P174" s="99">
        <f t="shared" si="305"/>
        <v>0.11764899999999989</v>
      </c>
      <c r="Q174" s="99">
        <f t="shared" si="305"/>
        <v>8.2354299999999991E-2</v>
      </c>
      <c r="R174" s="99">
        <f t="shared" si="305"/>
        <v>7.4118869999999948E-2</v>
      </c>
      <c r="S174" s="99">
        <f t="shared" si="305"/>
        <v>6.6706982999999997E-2</v>
      </c>
      <c r="T174" s="99">
        <f t="shared" si="305"/>
        <v>6.0036284699999998E-2</v>
      </c>
    </row>
    <row r="175" spans="3:22" outlineLevel="4" x14ac:dyDescent="0.2">
      <c r="C175" s="506" t="s">
        <v>167</v>
      </c>
      <c r="E175" s="58"/>
      <c r="F175" s="58"/>
      <c r="G175" s="58"/>
      <c r="H175" s="58"/>
      <c r="I175" s="99" t="str">
        <f t="shared" ref="I175:T175" si="306">IFERROR(I163/H163-1,"")</f>
        <v/>
      </c>
      <c r="J175" s="99" t="str">
        <f t="shared" si="306"/>
        <v/>
      </c>
      <c r="K175" s="99">
        <f t="shared" si="306"/>
        <v>0.52334000000000014</v>
      </c>
      <c r="L175" s="99">
        <f t="shared" si="306"/>
        <v>0.23641066057142845</v>
      </c>
      <c r="M175" s="99">
        <f t="shared" si="306"/>
        <v>0.19467878041958064</v>
      </c>
      <c r="N175" s="99">
        <f t="shared" si="306"/>
        <v>0.1619116213219618</v>
      </c>
      <c r="O175" s="99">
        <f t="shared" si="306"/>
        <v>0.13405890909090923</v>
      </c>
      <c r="P175" s="99">
        <f t="shared" si="306"/>
        <v>0.13326080000000018</v>
      </c>
      <c r="Q175" s="99">
        <f t="shared" si="306"/>
        <v>0.13249406409937903</v>
      </c>
      <c r="R175" s="99">
        <f t="shared" si="306"/>
        <v>0.1317568364399162</v>
      </c>
      <c r="S175" s="99">
        <f t="shared" si="306"/>
        <v>0.1310473999999997</v>
      </c>
      <c r="T175" s="99">
        <f t="shared" si="306"/>
        <v>0.13036417109309495</v>
      </c>
    </row>
    <row r="176" spans="3:22" outlineLevel="4" x14ac:dyDescent="0.2">
      <c r="C176" s="60"/>
      <c r="E176" s="58"/>
      <c r="F176" s="58"/>
      <c r="G176" s="58"/>
      <c r="H176" s="58"/>
      <c r="I176" s="58"/>
      <c r="J176" s="58"/>
      <c r="K176" s="58"/>
      <c r="L176" s="58"/>
      <c r="M176" s="58"/>
      <c r="N176" s="58"/>
      <c r="O176" s="58"/>
      <c r="P176" s="58"/>
      <c r="Q176" s="58"/>
      <c r="R176" s="58"/>
      <c r="S176" s="58"/>
      <c r="T176" s="58"/>
    </row>
    <row r="177" spans="3:20" outlineLevel="4" x14ac:dyDescent="0.2">
      <c r="C177" s="342" t="s">
        <v>285</v>
      </c>
      <c r="E177" s="58"/>
      <c r="F177" s="58"/>
      <c r="G177" s="58"/>
      <c r="H177" s="58"/>
      <c r="I177" s="58"/>
      <c r="J177" s="58"/>
      <c r="K177" s="58"/>
      <c r="L177" s="58"/>
      <c r="M177" s="58"/>
      <c r="N177" s="58"/>
      <c r="O177" s="58"/>
      <c r="P177" s="58"/>
      <c r="Q177" s="58"/>
      <c r="R177" s="58"/>
      <c r="S177" s="58"/>
      <c r="T177" s="58"/>
    </row>
    <row r="178" spans="3:20" outlineLevel="4" x14ac:dyDescent="0.2">
      <c r="C178" s="506" t="s">
        <v>164</v>
      </c>
      <c r="E178" s="58"/>
      <c r="F178" s="58"/>
      <c r="G178" s="58"/>
      <c r="H178" s="99">
        <f t="shared" ref="H178:T178" si="307">IFERROR(H160/H$165,"")</f>
        <v>0.33469358533791521</v>
      </c>
      <c r="I178" s="99">
        <f t="shared" si="307"/>
        <v>0.23374999999999999</v>
      </c>
      <c r="J178" s="99">
        <f t="shared" si="307"/>
        <v>5.6447209774150839E-2</v>
      </c>
      <c r="K178" s="99">
        <f t="shared" si="307"/>
        <v>4.7366978460794303E-2</v>
      </c>
      <c r="L178" s="99">
        <f t="shared" si="307"/>
        <v>4.2761627539488284E-2</v>
      </c>
      <c r="M178" s="99">
        <f t="shared" si="307"/>
        <v>4.0315228276086947E-2</v>
      </c>
      <c r="N178" s="99">
        <f t="shared" si="307"/>
        <v>3.9441274042317731E-2</v>
      </c>
      <c r="O178" s="99">
        <f t="shared" si="307"/>
        <v>3.9795910711291155E-2</v>
      </c>
      <c r="P178" s="99">
        <f t="shared" si="307"/>
        <v>4.0662973062231662E-2</v>
      </c>
      <c r="Q178" s="99">
        <f t="shared" si="307"/>
        <v>4.1918185731579252E-2</v>
      </c>
      <c r="R178" s="99">
        <f t="shared" si="307"/>
        <v>4.3279084790080635E-2</v>
      </c>
      <c r="S178" s="99">
        <f t="shared" si="307"/>
        <v>4.4738362604560204E-2</v>
      </c>
      <c r="T178" s="99">
        <f t="shared" si="307"/>
        <v>4.6287898490564673E-2</v>
      </c>
    </row>
    <row r="179" spans="3:20" outlineLevel="4" x14ac:dyDescent="0.2">
      <c r="C179" s="506" t="s">
        <v>165</v>
      </c>
      <c r="E179" s="58"/>
      <c r="F179" s="58"/>
      <c r="G179" s="58"/>
      <c r="H179" s="99">
        <f t="shared" ref="H179:T179" si="308">IFERROR((H161+H164)/H$165,"")</f>
        <v>0.26750773454627408</v>
      </c>
      <c r="I179" s="99">
        <f t="shared" si="308"/>
        <v>0.23738636363636365</v>
      </c>
      <c r="J179" s="99">
        <f t="shared" si="308"/>
        <v>6.9553638141728852E-2</v>
      </c>
      <c r="K179" s="99">
        <f t="shared" si="308"/>
        <v>6.1026851029236252E-2</v>
      </c>
      <c r="L179" s="99">
        <f t="shared" si="308"/>
        <v>6.1557907642341425E-2</v>
      </c>
      <c r="M179" s="99">
        <f t="shared" si="308"/>
        <v>6.3307741862649744E-2</v>
      </c>
      <c r="N179" s="99">
        <f t="shared" si="308"/>
        <v>6.6179119651171986E-2</v>
      </c>
      <c r="O179" s="99">
        <f t="shared" si="308"/>
        <v>7.0077625110876257E-2</v>
      </c>
      <c r="P179" s="99">
        <f t="shared" si="308"/>
        <v>7.397047327201374E-2</v>
      </c>
      <c r="Q179" s="99">
        <f t="shared" si="308"/>
        <v>7.7684270313111203E-2</v>
      </c>
      <c r="R179" s="99">
        <f t="shared" si="308"/>
        <v>8.0708631555786295E-2</v>
      </c>
      <c r="S179" s="99">
        <f t="shared" si="308"/>
        <v>8.3035902343970014E-2</v>
      </c>
      <c r="T179" s="99">
        <f t="shared" si="308"/>
        <v>8.4673144143286236E-2</v>
      </c>
    </row>
    <row r="180" spans="3:20" outlineLevel="4" x14ac:dyDescent="0.2">
      <c r="C180" s="506" t="s">
        <v>166</v>
      </c>
      <c r="E180" s="58"/>
      <c r="F180" s="58"/>
      <c r="G180" s="58"/>
      <c r="H180" s="99">
        <f t="shared" ref="H180:T180" si="309">IFERROR(H162/H$165,"")</f>
        <v>0.39779868011581071</v>
      </c>
      <c r="I180" s="99">
        <f t="shared" si="309"/>
        <v>0.52886363636363631</v>
      </c>
      <c r="J180" s="99">
        <f t="shared" si="309"/>
        <v>0.19819925807539304</v>
      </c>
      <c r="K180" s="99">
        <f t="shared" si="309"/>
        <v>0.21985807623137327</v>
      </c>
      <c r="L180" s="99">
        <f t="shared" si="309"/>
        <v>0.25334879506347785</v>
      </c>
      <c r="M180" s="99">
        <f t="shared" si="309"/>
        <v>0.27535430163285307</v>
      </c>
      <c r="N180" s="99">
        <f t="shared" si="309"/>
        <v>0.28729012166722251</v>
      </c>
      <c r="O180" s="99">
        <f t="shared" si="309"/>
        <v>0.29168898207264693</v>
      </c>
      <c r="P180" s="99">
        <f t="shared" si="309"/>
        <v>0.28742991697735149</v>
      </c>
      <c r="Q180" s="99">
        <f t="shared" si="309"/>
        <v>0.27714606336301978</v>
      </c>
      <c r="R180" s="99">
        <f t="shared" si="309"/>
        <v>0.26598570420576384</v>
      </c>
      <c r="S180" s="99">
        <f t="shared" si="309"/>
        <v>0.25416055377423147</v>
      </c>
      <c r="T180" s="99">
        <f t="shared" si="309"/>
        <v>0.24186146618603693</v>
      </c>
    </row>
    <row r="181" spans="3:20" outlineLevel="4" x14ac:dyDescent="0.2">
      <c r="C181" s="506" t="s">
        <v>167</v>
      </c>
      <c r="E181" s="58"/>
      <c r="F181" s="58"/>
      <c r="G181" s="58"/>
      <c r="H181" s="99">
        <f t="shared" ref="H181:T181" si="310">IFERROR(H163/H$165,"")</f>
        <v>0</v>
      </c>
      <c r="I181" s="99">
        <f t="shared" si="310"/>
        <v>0</v>
      </c>
      <c r="J181" s="99">
        <f t="shared" si="310"/>
        <v>0.67579989400872731</v>
      </c>
      <c r="K181" s="99">
        <f t="shared" si="310"/>
        <v>0.67174809427859616</v>
      </c>
      <c r="L181" s="99">
        <f t="shared" si="310"/>
        <v>0.64233166975469247</v>
      </c>
      <c r="M181" s="99">
        <f t="shared" si="310"/>
        <v>0.62102272822841031</v>
      </c>
      <c r="N181" s="99">
        <f t="shared" si="310"/>
        <v>0.6070894846392878</v>
      </c>
      <c r="O181" s="99">
        <f t="shared" si="310"/>
        <v>0.59843748210518555</v>
      </c>
      <c r="P181" s="99">
        <f t="shared" si="310"/>
        <v>0.59793663668840324</v>
      </c>
      <c r="Q181" s="99">
        <f t="shared" si="310"/>
        <v>0.60325148059228972</v>
      </c>
      <c r="R181" s="99">
        <f t="shared" si="310"/>
        <v>0.61002657944836924</v>
      </c>
      <c r="S181" s="99">
        <f t="shared" si="310"/>
        <v>0.61806518127723831</v>
      </c>
      <c r="T181" s="99">
        <f t="shared" si="310"/>
        <v>0.62717749118011212</v>
      </c>
    </row>
    <row r="182" spans="3:20" outlineLevel="4" x14ac:dyDescent="0.2">
      <c r="C182" s="60"/>
      <c r="E182" s="58"/>
      <c r="F182" s="58"/>
      <c r="G182" s="58"/>
      <c r="H182" s="494">
        <f>SUM(H178:H181)</f>
        <v>1</v>
      </c>
      <c r="I182" s="494">
        <f t="shared" ref="I182:T182" si="311">SUM(I178:I181)</f>
        <v>1</v>
      </c>
      <c r="J182" s="494">
        <f t="shared" si="311"/>
        <v>1</v>
      </c>
      <c r="K182" s="494">
        <f t="shared" si="311"/>
        <v>1</v>
      </c>
      <c r="L182" s="494">
        <f t="shared" si="311"/>
        <v>1</v>
      </c>
      <c r="M182" s="494">
        <f t="shared" si="311"/>
        <v>1</v>
      </c>
      <c r="N182" s="494">
        <f t="shared" si="311"/>
        <v>1</v>
      </c>
      <c r="O182" s="494">
        <f t="shared" si="311"/>
        <v>0.99999999999999989</v>
      </c>
      <c r="P182" s="494">
        <f t="shared" si="311"/>
        <v>1</v>
      </c>
      <c r="Q182" s="494">
        <f t="shared" si="311"/>
        <v>1</v>
      </c>
      <c r="R182" s="494">
        <f t="shared" si="311"/>
        <v>1</v>
      </c>
      <c r="S182" s="494">
        <f t="shared" si="311"/>
        <v>1</v>
      </c>
      <c r="T182" s="494">
        <f t="shared" si="311"/>
        <v>1</v>
      </c>
    </row>
    <row r="183" spans="3:20" outlineLevel="4" x14ac:dyDescent="0.2">
      <c r="C183" s="60"/>
      <c r="E183" s="58"/>
      <c r="F183" s="58"/>
      <c r="G183" s="58"/>
      <c r="H183" s="494"/>
      <c r="I183" s="494"/>
      <c r="J183" s="494"/>
      <c r="K183" s="494"/>
      <c r="L183" s="494"/>
      <c r="M183" s="494"/>
      <c r="N183" s="494"/>
      <c r="O183" s="494"/>
      <c r="P183" s="494"/>
      <c r="Q183" s="494"/>
      <c r="R183" s="494"/>
      <c r="S183" s="494"/>
      <c r="T183" s="494"/>
    </row>
    <row r="184" spans="3:20" outlineLevel="4" x14ac:dyDescent="0.2">
      <c r="C184" s="342" t="s">
        <v>541</v>
      </c>
      <c r="E184" s="58"/>
      <c r="F184" s="58"/>
      <c r="G184" s="58"/>
      <c r="H184" s="58"/>
      <c r="I184" s="58"/>
      <c r="J184" s="58"/>
      <c r="K184" s="58"/>
      <c r="L184" s="58"/>
      <c r="M184" s="58"/>
      <c r="N184" s="58"/>
      <c r="O184" s="58"/>
      <c r="P184" s="58"/>
      <c r="Q184" s="58"/>
      <c r="R184" s="58"/>
      <c r="S184" s="58"/>
      <c r="T184" s="58"/>
    </row>
    <row r="185" spans="3:20" outlineLevel="4" x14ac:dyDescent="0.2">
      <c r="C185" s="506" t="s">
        <v>164</v>
      </c>
      <c r="E185" s="58"/>
      <c r="F185" s="58"/>
      <c r="G185" s="58"/>
      <c r="H185" s="58"/>
      <c r="I185" s="99">
        <f t="shared" ref="I185:T185" si="312">IFERROR((I160-H160)/(I$165-H$165),"")</f>
        <v>0.15115979381443301</v>
      </c>
      <c r="J185" s="99">
        <f t="shared" si="312"/>
        <v>1.5562816387981756E-2</v>
      </c>
      <c r="K185" s="99">
        <f t="shared" si="312"/>
        <v>3.031580924363092E-2</v>
      </c>
      <c r="L185" s="99">
        <f t="shared" si="312"/>
        <v>2.7045514713698871E-2</v>
      </c>
      <c r="M185" s="99">
        <f t="shared" si="312"/>
        <v>2.993467552323412E-2</v>
      </c>
      <c r="N185" s="99">
        <f t="shared" si="312"/>
        <v>3.4806842696694464E-2</v>
      </c>
      <c r="O185" s="99">
        <f t="shared" si="312"/>
        <v>4.2153009370101628E-2</v>
      </c>
      <c r="P185" s="99">
        <f t="shared" si="312"/>
        <v>4.712346079769078E-2</v>
      </c>
      <c r="Q185" s="99">
        <f t="shared" si="312"/>
        <v>5.2163446566711014E-2</v>
      </c>
      <c r="R185" s="99">
        <f t="shared" si="312"/>
        <v>5.469724179362636E-2</v>
      </c>
      <c r="S185" s="99">
        <f t="shared" si="312"/>
        <v>5.7281911977597501E-2</v>
      </c>
      <c r="T185" s="99">
        <f t="shared" si="312"/>
        <v>5.9887354078422522E-2</v>
      </c>
    </row>
    <row r="186" spans="3:20" outlineLevel="4" x14ac:dyDescent="0.2">
      <c r="C186" s="506" t="s">
        <v>165</v>
      </c>
      <c r="E186" s="58"/>
      <c r="F186" s="58"/>
      <c r="G186" s="58"/>
      <c r="H186" s="58"/>
      <c r="I186" s="99">
        <f t="shared" ref="I186:T186" si="313">IFERROR((I161-H161)/(I$165-H$165),"")</f>
        <v>0.21274160561916419</v>
      </c>
      <c r="J186" s="99">
        <f t="shared" si="313"/>
        <v>3.085295461917931E-2</v>
      </c>
      <c r="K186" s="99">
        <f t="shared" si="313"/>
        <v>4.5014958279326271E-2</v>
      </c>
      <c r="L186" s="99">
        <f t="shared" si="313"/>
        <v>6.3370179017760445E-2</v>
      </c>
      <c r="M186" s="99">
        <f t="shared" si="313"/>
        <v>7.0732632273793436E-2</v>
      </c>
      <c r="N186" s="99">
        <f t="shared" si="313"/>
        <v>8.1405549953891751E-2</v>
      </c>
      <c r="O186" s="99">
        <f t="shared" si="313"/>
        <v>9.5989108029533171E-2</v>
      </c>
      <c r="P186" s="99">
        <f t="shared" si="313"/>
        <v>0.10297611257090973</v>
      </c>
      <c r="Q186" s="99">
        <f t="shared" si="313"/>
        <v>0.10799691796552889</v>
      </c>
      <c r="R186" s="99">
        <f t="shared" si="313"/>
        <v>0.10608349774338585</v>
      </c>
      <c r="S186" s="99">
        <f t="shared" si="313"/>
        <v>0.10304047977696626</v>
      </c>
      <c r="T186" s="99">
        <f t="shared" si="313"/>
        <v>9.9042348069113328E-2</v>
      </c>
    </row>
    <row r="187" spans="3:20" outlineLevel="4" x14ac:dyDescent="0.2">
      <c r="C187" s="506" t="s">
        <v>166</v>
      </c>
      <c r="E187" s="58"/>
      <c r="F187" s="58"/>
      <c r="G187" s="58"/>
      <c r="H187" s="58"/>
      <c r="I187" s="99">
        <f t="shared" ref="I187:T187" si="314">IFERROR((I162-H162)/(I$165-H$165),"")</f>
        <v>0.63609860056640277</v>
      </c>
      <c r="J187" s="99">
        <f t="shared" si="314"/>
        <v>0.12195109241759948</v>
      </c>
      <c r="K187" s="99">
        <f t="shared" si="314"/>
        <v>0.26052974644291915</v>
      </c>
      <c r="L187" s="99">
        <f t="shared" si="314"/>
        <v>0.36763843873581736</v>
      </c>
      <c r="M187" s="99">
        <f t="shared" si="314"/>
        <v>0.36872798973601845</v>
      </c>
      <c r="N187" s="99">
        <f t="shared" si="314"/>
        <v>0.3505837546352007</v>
      </c>
      <c r="O187" s="99">
        <f t="shared" si="314"/>
        <v>0.32092608265768979</v>
      </c>
      <c r="P187" s="99">
        <f t="shared" si="314"/>
        <v>0.25569559270086573</v>
      </c>
      <c r="Q187" s="99">
        <f t="shared" si="314"/>
        <v>0.19320748845690139</v>
      </c>
      <c r="R187" s="99">
        <f t="shared" si="314"/>
        <v>0.17234853671897513</v>
      </c>
      <c r="S187" s="99">
        <f t="shared" si="314"/>
        <v>0.15251482407853315</v>
      </c>
      <c r="T187" s="99">
        <f t="shared" si="314"/>
        <v>0.13391889000078111</v>
      </c>
    </row>
    <row r="188" spans="3:20" outlineLevel="4" x14ac:dyDescent="0.2">
      <c r="C188" s="506" t="s">
        <v>167</v>
      </c>
      <c r="E188" s="58"/>
      <c r="F188" s="58"/>
      <c r="G188" s="58"/>
      <c r="H188" s="58"/>
      <c r="I188" s="99">
        <f t="shared" ref="I188:T188" si="315">IFERROR((I163-H163)/(I$165-H$165),"")</f>
        <v>0</v>
      </c>
      <c r="J188" s="99">
        <f t="shared" si="315"/>
        <v>0.83163313657523952</v>
      </c>
      <c r="K188" s="99">
        <f t="shared" si="315"/>
        <v>0.66413948603412354</v>
      </c>
      <c r="L188" s="99">
        <f t="shared" si="315"/>
        <v>0.54194586753272322</v>
      </c>
      <c r="M188" s="99">
        <f t="shared" si="315"/>
        <v>0.53060470246695446</v>
      </c>
      <c r="N188" s="99">
        <f t="shared" si="315"/>
        <v>0.53320385271421256</v>
      </c>
      <c r="O188" s="99">
        <f t="shared" si="315"/>
        <v>0.54093179994267515</v>
      </c>
      <c r="P188" s="99">
        <f t="shared" si="315"/>
        <v>0.59420483393053514</v>
      </c>
      <c r="Q188" s="99">
        <f t="shared" si="315"/>
        <v>0.64663214701085681</v>
      </c>
      <c r="R188" s="99">
        <f t="shared" si="315"/>
        <v>0.6668707237440139</v>
      </c>
      <c r="S188" s="99">
        <f t="shared" si="315"/>
        <v>0.68716278416690302</v>
      </c>
      <c r="T188" s="99">
        <f t="shared" si="315"/>
        <v>0.70715140785168307</v>
      </c>
    </row>
    <row r="189" spans="3:20" outlineLevel="4" x14ac:dyDescent="0.2">
      <c r="C189" s="60"/>
      <c r="E189" s="58"/>
      <c r="F189" s="58"/>
      <c r="G189" s="58"/>
      <c r="H189" s="58"/>
      <c r="I189" s="58"/>
      <c r="J189" s="58"/>
      <c r="K189" s="58"/>
      <c r="L189" s="58"/>
      <c r="M189" s="58"/>
      <c r="N189" s="58"/>
      <c r="O189" s="58"/>
      <c r="P189" s="58"/>
      <c r="Q189" s="58"/>
      <c r="R189" s="58"/>
      <c r="S189" s="58"/>
      <c r="T189" s="58"/>
    </row>
    <row r="190" spans="3:20" outlineLevel="4" x14ac:dyDescent="0.2">
      <c r="C190" s="342" t="s">
        <v>170</v>
      </c>
      <c r="E190" s="58"/>
      <c r="F190" s="58"/>
      <c r="G190" s="58"/>
      <c r="H190" s="58"/>
      <c r="I190" s="58"/>
      <c r="J190" s="58"/>
      <c r="K190" s="58"/>
      <c r="L190" s="58"/>
      <c r="M190" s="58"/>
      <c r="N190" s="58"/>
      <c r="O190" s="58"/>
      <c r="P190" s="58"/>
      <c r="Q190" s="58"/>
      <c r="R190" s="58"/>
      <c r="S190" s="58"/>
      <c r="T190" s="58"/>
    </row>
    <row r="191" spans="3:20" outlineLevel="4" x14ac:dyDescent="0.2">
      <c r="C191" s="506" t="s">
        <v>164</v>
      </c>
      <c r="E191" s="58"/>
      <c r="F191" s="58"/>
      <c r="G191" s="58"/>
      <c r="H191" s="99">
        <f t="shared" ref="H191:T191" si="316">IFERROR(H160/H$537,"")</f>
        <v>3.960924099266603E-3</v>
      </c>
      <c r="I191" s="99">
        <f t="shared" si="316"/>
        <v>5.5734624071721826E-3</v>
      </c>
      <c r="J191" s="99">
        <f t="shared" si="316"/>
        <v>6.1371667821234687E-3</v>
      </c>
      <c r="K191" s="99">
        <f t="shared" si="316"/>
        <v>6.974191276953313E-3</v>
      </c>
      <c r="L191" s="99">
        <f t="shared" si="316"/>
        <v>7.2546661708099537E-3</v>
      </c>
      <c r="M191" s="99">
        <f t="shared" si="316"/>
        <v>7.5957303018025085E-3</v>
      </c>
      <c r="N191" s="99">
        <f t="shared" si="316"/>
        <v>8.0750363952349826E-3</v>
      </c>
      <c r="O191" s="99">
        <f t="shared" si="316"/>
        <v>8.5711269500558934E-3</v>
      </c>
      <c r="P191" s="99">
        <f t="shared" si="316"/>
        <v>9.0845186418809076E-3</v>
      </c>
      <c r="Q191" s="99">
        <f t="shared" si="316"/>
        <v>9.6157498537388399E-3</v>
      </c>
      <c r="R191" s="99">
        <f t="shared" si="316"/>
        <v>1.0169730805536365E-2</v>
      </c>
      <c r="S191" s="99">
        <f t="shared" si="316"/>
        <v>1.0747626748830492E-2</v>
      </c>
      <c r="T191" s="99">
        <f t="shared" si="316"/>
        <v>1.1345991567621824E-2</v>
      </c>
    </row>
    <row r="192" spans="3:20" outlineLevel="4" x14ac:dyDescent="0.2">
      <c r="C192" s="506" t="s">
        <v>165</v>
      </c>
      <c r="E192" s="58"/>
      <c r="F192" s="58"/>
      <c r="G192" s="58"/>
      <c r="H192" s="99">
        <f t="shared" ref="H192:T192" si="317">IFERROR(H161/H$537,"")</f>
        <v>3.1658145806253606E-3</v>
      </c>
      <c r="I192" s="99">
        <f t="shared" si="317"/>
        <v>5.6601667324174482E-3</v>
      </c>
      <c r="J192" s="99">
        <f t="shared" si="317"/>
        <v>7.5621501804457557E-3</v>
      </c>
      <c r="K192" s="99">
        <f t="shared" si="317"/>
        <v>8.9854355489512403E-3</v>
      </c>
      <c r="L192" s="99">
        <f t="shared" si="317"/>
        <v>1.0443523687360614E-2</v>
      </c>
      <c r="M192" s="99">
        <f t="shared" si="317"/>
        <v>1.1927714508069594E-2</v>
      </c>
      <c r="N192" s="99">
        <f t="shared" si="317"/>
        <v>1.354922762420027E-2</v>
      </c>
      <c r="O192" s="99">
        <f t="shared" si="317"/>
        <v>1.5093114102633826E-2</v>
      </c>
      <c r="P192" s="99">
        <f t="shared" si="317"/>
        <v>1.6525750400983648E-2</v>
      </c>
      <c r="Q192" s="99">
        <f t="shared" si="317"/>
        <v>1.7820249084357614E-2</v>
      </c>
      <c r="R192" s="99">
        <f t="shared" si="317"/>
        <v>1.896493561697692E-2</v>
      </c>
      <c r="S192" s="99">
        <f t="shared" si="317"/>
        <v>1.9947955919476634E-2</v>
      </c>
      <c r="T192" s="99">
        <f t="shared" si="317"/>
        <v>2.0754901621847927E-2</v>
      </c>
    </row>
    <row r="193" spans="3:22" outlineLevel="4" x14ac:dyDescent="0.2">
      <c r="C193" s="506" t="s">
        <v>166</v>
      </c>
      <c r="E193" s="58"/>
      <c r="F193" s="58"/>
      <c r="G193" s="58"/>
      <c r="H193" s="99">
        <f t="shared" ref="H193:T193" si="318">IFERROR(H162/H$537,"")</f>
        <v>4.7077399978740081E-3</v>
      </c>
      <c r="I193" s="99">
        <f t="shared" si="318"/>
        <v>1.261006030285821E-2</v>
      </c>
      <c r="J193" s="99">
        <f t="shared" si="318"/>
        <v>2.1549017352117956E-2</v>
      </c>
      <c r="K193" s="99">
        <f t="shared" si="318"/>
        <v>3.2371333938678838E-2</v>
      </c>
      <c r="L193" s="99">
        <f t="shared" si="318"/>
        <v>4.2981547679989705E-2</v>
      </c>
      <c r="M193" s="99">
        <f t="shared" si="318"/>
        <v>5.1879081480605611E-2</v>
      </c>
      <c r="N193" s="99">
        <f t="shared" si="318"/>
        <v>5.8818540850512101E-2</v>
      </c>
      <c r="O193" s="99">
        <f t="shared" si="318"/>
        <v>6.2823120531524584E-2</v>
      </c>
      <c r="P193" s="99">
        <f t="shared" si="318"/>
        <v>6.4214744824950223E-2</v>
      </c>
      <c r="Q193" s="99">
        <f t="shared" si="318"/>
        <v>6.3575442775892554E-2</v>
      </c>
      <c r="R193" s="99">
        <f t="shared" si="318"/>
        <v>6.2501391215038227E-2</v>
      </c>
      <c r="S193" s="99">
        <f t="shared" si="318"/>
        <v>6.1057727802560781E-2</v>
      </c>
      <c r="T193" s="99">
        <f t="shared" si="318"/>
        <v>5.9284569949504089E-2</v>
      </c>
    </row>
    <row r="194" spans="3:22" outlineLevel="4" x14ac:dyDescent="0.2">
      <c r="C194" s="506" t="s">
        <v>167</v>
      </c>
      <c r="E194" s="58"/>
      <c r="F194" s="58"/>
      <c r="G194" s="58"/>
      <c r="H194" s="99">
        <f t="shared" ref="H194:T194" si="319">IFERROR(H163/H$537,"")</f>
        <v>0</v>
      </c>
      <c r="I194" s="99">
        <f t="shared" si="319"/>
        <v>0</v>
      </c>
      <c r="J194" s="99">
        <f t="shared" si="319"/>
        <v>7.3475671826248645E-2</v>
      </c>
      <c r="K194" s="99">
        <f t="shared" si="319"/>
        <v>9.8906450266940588E-2</v>
      </c>
      <c r="L194" s="99">
        <f t="shared" si="319"/>
        <v>0.108973911965957</v>
      </c>
      <c r="M194" s="99">
        <f t="shared" si="319"/>
        <v>0.11700593935891389</v>
      </c>
      <c r="N194" s="99">
        <f t="shared" si="319"/>
        <v>0.12429288360124739</v>
      </c>
      <c r="O194" s="99">
        <f t="shared" si="319"/>
        <v>0.1288897160315528</v>
      </c>
      <c r="P194" s="99">
        <f t="shared" si="319"/>
        <v>0.13358508032224178</v>
      </c>
      <c r="Q194" s="99">
        <f t="shared" si="319"/>
        <v>0.13838183201481102</v>
      </c>
      <c r="R194" s="99">
        <f t="shared" si="319"/>
        <v>0.14334420719159804</v>
      </c>
      <c r="S194" s="99">
        <f t="shared" si="319"/>
        <v>0.14847959308503875</v>
      </c>
      <c r="T194" s="99">
        <f t="shared" si="319"/>
        <v>0.15373241729222767</v>
      </c>
    </row>
    <row r="195" spans="3:22" outlineLevel="4" x14ac:dyDescent="0.2">
      <c r="C195" s="506" t="s">
        <v>391</v>
      </c>
      <c r="E195" s="58"/>
      <c r="F195" s="58"/>
      <c r="G195" s="58"/>
      <c r="H195" s="99">
        <f t="shared" ref="H195:T195" si="320">IFERROR(H164/H$537,"")</f>
        <v>0</v>
      </c>
      <c r="I195" s="99">
        <f t="shared" si="320"/>
        <v>0</v>
      </c>
      <c r="J195" s="99">
        <f t="shared" si="320"/>
        <v>0</v>
      </c>
      <c r="K195" s="99">
        <f t="shared" si="320"/>
        <v>0</v>
      </c>
      <c r="L195" s="99">
        <f t="shared" si="320"/>
        <v>0</v>
      </c>
      <c r="M195" s="99">
        <f t="shared" si="320"/>
        <v>0</v>
      </c>
      <c r="N195" s="99">
        <f t="shared" si="320"/>
        <v>0</v>
      </c>
      <c r="O195" s="99">
        <f t="shared" si="320"/>
        <v>0</v>
      </c>
      <c r="P195" s="99">
        <f t="shared" si="320"/>
        <v>0</v>
      </c>
      <c r="Q195" s="99">
        <f t="shared" si="320"/>
        <v>0</v>
      </c>
      <c r="R195" s="99">
        <f t="shared" si="320"/>
        <v>0</v>
      </c>
      <c r="S195" s="99">
        <f t="shared" si="320"/>
        <v>0</v>
      </c>
      <c r="T195" s="99">
        <f t="shared" si="320"/>
        <v>0</v>
      </c>
    </row>
    <row r="196" spans="3:22" s="2" customFormat="1" outlineLevel="4" x14ac:dyDescent="0.2">
      <c r="C196" s="507" t="s">
        <v>168</v>
      </c>
      <c r="D196" s="45"/>
      <c r="E196" s="346"/>
      <c r="F196" s="346"/>
      <c r="G196" s="346"/>
      <c r="H196" s="347">
        <f t="shared" ref="H196:T196" si="321">IFERROR(H165/H$537,"")</f>
        <v>1.1834478677765973E-2</v>
      </c>
      <c r="I196" s="347">
        <f t="shared" si="321"/>
        <v>2.384368944244784E-2</v>
      </c>
      <c r="J196" s="347">
        <f t="shared" si="321"/>
        <v>0.10872400614093583</v>
      </c>
      <c r="K196" s="347">
        <f t="shared" si="321"/>
        <v>0.14723741103152396</v>
      </c>
      <c r="L196" s="347">
        <f t="shared" si="321"/>
        <v>0.16965364950411729</v>
      </c>
      <c r="M196" s="347">
        <f t="shared" si="321"/>
        <v>0.18840846564939159</v>
      </c>
      <c r="N196" s="347">
        <f t="shared" si="321"/>
        <v>0.20473568847119475</v>
      </c>
      <c r="O196" s="347">
        <f t="shared" si="321"/>
        <v>0.21537707761576713</v>
      </c>
      <c r="P196" s="347">
        <f t="shared" si="321"/>
        <v>0.22341009419005653</v>
      </c>
      <c r="Q196" s="347">
        <f t="shared" si="321"/>
        <v>0.22939327372880006</v>
      </c>
      <c r="R196" s="347">
        <f t="shared" si="321"/>
        <v>0.23498026482914955</v>
      </c>
      <c r="S196" s="347">
        <f t="shared" si="321"/>
        <v>0.24023290355590665</v>
      </c>
      <c r="T196" s="347">
        <f t="shared" si="321"/>
        <v>0.2451178804312015</v>
      </c>
    </row>
    <row r="197" spans="3:22" outlineLevel="4" x14ac:dyDescent="0.2">
      <c r="E197" s="1"/>
      <c r="F197" s="1"/>
      <c r="G197" s="52"/>
      <c r="H197" s="52"/>
      <c r="I197" s="52"/>
      <c r="J197" s="1"/>
      <c r="K197" s="1"/>
      <c r="L197" s="1"/>
      <c r="M197" s="1"/>
      <c r="N197" s="1"/>
      <c r="O197" s="1"/>
      <c r="P197" s="1"/>
      <c r="Q197" s="1"/>
      <c r="R197" s="1"/>
      <c r="S197" s="1"/>
      <c r="T197" s="1"/>
      <c r="V197" s="10" t="s">
        <v>822</v>
      </c>
    </row>
    <row r="198" spans="3:22" outlineLevel="4" x14ac:dyDescent="0.2">
      <c r="C198" s="2" t="s">
        <v>468</v>
      </c>
      <c r="E198" s="1"/>
      <c r="F198" s="1"/>
      <c r="G198" s="52"/>
      <c r="H198" s="52"/>
      <c r="I198" s="52"/>
      <c r="J198" s="1"/>
      <c r="K198" s="1"/>
      <c r="L198" s="1"/>
      <c r="M198" s="1"/>
      <c r="N198" s="1"/>
      <c r="O198" s="1"/>
      <c r="P198" s="1"/>
      <c r="Q198" s="1"/>
      <c r="R198" s="1"/>
      <c r="S198" s="1"/>
      <c r="T198" s="1"/>
      <c r="V198" s="437" t="s">
        <v>825</v>
      </c>
    </row>
    <row r="199" spans="3:22" outlineLevel="4" x14ac:dyDescent="0.2">
      <c r="C199" s="110" t="s">
        <v>164</v>
      </c>
      <c r="D199" s="43" t="s">
        <v>295</v>
      </c>
      <c r="E199" s="1"/>
      <c r="F199" s="1"/>
      <c r="G199" s="52"/>
      <c r="H199" s="131">
        <f>H236</f>
        <v>3.6242455508289422</v>
      </c>
      <c r="I199" s="131">
        <f>I236</f>
        <v>5.1220119521912348</v>
      </c>
      <c r="J199" s="131">
        <f t="shared" ref="J199:T199" si="322">J236</f>
        <v>6.3368635893742811</v>
      </c>
      <c r="K199" s="131">
        <f t="shared" si="322"/>
        <v>7.8232519375094398</v>
      </c>
      <c r="L199" s="131">
        <f t="shared" si="322"/>
        <v>8.7669179643215589</v>
      </c>
      <c r="M199" s="131">
        <f t="shared" si="322"/>
        <v>9.8047395758316007</v>
      </c>
      <c r="N199" s="131">
        <f t="shared" si="322"/>
        <v>10.945030788500818</v>
      </c>
      <c r="O199" s="131">
        <f t="shared" si="322"/>
        <v>12.196782280668083</v>
      </c>
      <c r="P199" s="131">
        <f t="shared" si="322"/>
        <v>13.56971338870564</v>
      </c>
      <c r="Q199" s="131">
        <f t="shared" si="322"/>
        <v>15.074327932568329</v>
      </c>
      <c r="R199" s="131">
        <f t="shared" si="322"/>
        <v>16.721974143727358</v>
      </c>
      <c r="S199" s="131">
        <f t="shared" si="322"/>
        <v>18.524908987446334</v>
      </c>
      <c r="T199" s="131">
        <f t="shared" si="322"/>
        <v>20.496367191614937</v>
      </c>
      <c r="V199" s="546">
        <f>(T199/I199)^(1/11)-1</f>
        <v>0.13435438713104997</v>
      </c>
    </row>
    <row r="200" spans="3:22" outlineLevel="4" x14ac:dyDescent="0.2">
      <c r="C200" s="110" t="s">
        <v>165</v>
      </c>
      <c r="D200" s="43" t="s">
        <v>295</v>
      </c>
      <c r="E200" s="1"/>
      <c r="F200" s="1"/>
      <c r="G200" s="52"/>
      <c r="H200" s="131">
        <f>H256</f>
        <v>2.8967203412722049</v>
      </c>
      <c r="I200" s="131">
        <f>I256</f>
        <v>5.2016932270916341</v>
      </c>
      <c r="J200" s="131">
        <f t="shared" ref="J200:T200" si="323">J256</f>
        <v>7.808214415067007</v>
      </c>
      <c r="K200" s="131">
        <f t="shared" si="323"/>
        <v>10.079351608837378</v>
      </c>
      <c r="L200" s="131">
        <f t="shared" si="323"/>
        <v>12.620500140162546</v>
      </c>
      <c r="M200" s="131">
        <f t="shared" si="323"/>
        <v>15.396562257975148</v>
      </c>
      <c r="N200" s="131">
        <f t="shared" si="323"/>
        <v>18.364835308332047</v>
      </c>
      <c r="O200" s="131">
        <f t="shared" si="323"/>
        <v>21.477622221650254</v>
      </c>
      <c r="P200" s="131">
        <f t="shared" si="323"/>
        <v>24.684818790597532</v>
      </c>
      <c r="Q200" s="131">
        <f t="shared" si="323"/>
        <v>27.936279814226644</v>
      </c>
      <c r="R200" s="131">
        <f t="shared" si="323"/>
        <v>31.183830633146851</v>
      </c>
      <c r="S200" s="131">
        <f t="shared" si="323"/>
        <v>34.382852747850308</v>
      </c>
      <c r="T200" s="131">
        <f t="shared" si="323"/>
        <v>37.49342506839227</v>
      </c>
      <c r="V200" s="546">
        <f>(T200/I200)^(1/11)-1</f>
        <v>0.19669303069458066</v>
      </c>
    </row>
    <row r="201" spans="3:22" outlineLevel="4" x14ac:dyDescent="0.2">
      <c r="C201" s="110" t="s">
        <v>166</v>
      </c>
      <c r="D201" s="43" t="s">
        <v>295</v>
      </c>
      <c r="E201" s="1"/>
      <c r="F201" s="1"/>
      <c r="G201" s="52"/>
      <c r="H201" s="131">
        <f>H284</f>
        <v>4.3075820980547181</v>
      </c>
      <c r="I201" s="131">
        <f>I284</f>
        <v>11.588645418326694</v>
      </c>
      <c r="J201" s="131">
        <f t="shared" ref="J201:T201" si="324">J284</f>
        <v>22.250199203187254</v>
      </c>
      <c r="K201" s="131">
        <f t="shared" si="324"/>
        <v>36.312325099601594</v>
      </c>
      <c r="L201" s="131">
        <f t="shared" si="324"/>
        <v>51.941149822470116</v>
      </c>
      <c r="M201" s="131">
        <f t="shared" si="324"/>
        <v>66.966685643114275</v>
      </c>
      <c r="N201" s="131">
        <f t="shared" si="324"/>
        <v>79.723571391384965</v>
      </c>
      <c r="O201" s="131">
        <f t="shared" si="324"/>
        <v>89.397803553729617</v>
      </c>
      <c r="P201" s="131">
        <f t="shared" si="324"/>
        <v>95.918751114261454</v>
      </c>
      <c r="Q201" s="131">
        <f t="shared" si="324"/>
        <v>99.66534981038464</v>
      </c>
      <c r="R201" s="131">
        <f t="shared" si="324"/>
        <v>102.77033559982566</v>
      </c>
      <c r="S201" s="131">
        <f t="shared" si="324"/>
        <v>105.24080124440403</v>
      </c>
      <c r="T201" s="131">
        <f t="shared" si="324"/>
        <v>107.0967052319704</v>
      </c>
      <c r="V201" s="546">
        <f>(T201/I201)^(1/11)-1</f>
        <v>0.22403787927243313</v>
      </c>
    </row>
    <row r="202" spans="3:22" outlineLevel="4" x14ac:dyDescent="0.2">
      <c r="C202" s="110" t="s">
        <v>167</v>
      </c>
      <c r="D202" s="43" t="s">
        <v>295</v>
      </c>
      <c r="E202" s="1"/>
      <c r="F202" s="1"/>
      <c r="G202" s="52"/>
      <c r="H202" s="131"/>
      <c r="I202" s="131"/>
      <c r="J202" s="286">
        <f>J344*0.85</f>
        <v>75.866491172571429</v>
      </c>
      <c r="K202" s="131">
        <f t="shared" ref="K202:T202" si="325">K344</f>
        <v>110.94764223631198</v>
      </c>
      <c r="L202" s="131">
        <f t="shared" si="325"/>
        <v>131.68977372119136</v>
      </c>
      <c r="M202" s="131">
        <f t="shared" si="325"/>
        <v>151.0338991324449</v>
      </c>
      <c r="N202" s="131">
        <f t="shared" si="325"/>
        <v>168.46852091093442</v>
      </c>
      <c r="O202" s="131">
        <f t="shared" si="325"/>
        <v>183.41109795879677</v>
      </c>
      <c r="P202" s="131">
        <f t="shared" si="325"/>
        <v>199.53850329759783</v>
      </c>
      <c r="Q202" s="131">
        <f t="shared" si="325"/>
        <v>216.93712372205175</v>
      </c>
      <c r="R202" s="131">
        <f t="shared" si="325"/>
        <v>235.69926993604221</v>
      </c>
      <c r="S202" s="131">
        <f t="shared" si="325"/>
        <v>255.92356458533635</v>
      </c>
      <c r="T202" s="131">
        <f t="shared" si="325"/>
        <v>277.71535482786612</v>
      </c>
      <c r="U202" s="52">
        <f>(T202/67)^(1/11)-1</f>
        <v>0.13799052086260266</v>
      </c>
      <c r="V202" s="546"/>
    </row>
    <row r="203" spans="3:22" outlineLevel="4" x14ac:dyDescent="0.2">
      <c r="C203" s="110" t="s">
        <v>391</v>
      </c>
      <c r="D203" s="43" t="s">
        <v>295</v>
      </c>
      <c r="E203" s="1"/>
      <c r="F203" s="1"/>
      <c r="G203" s="52"/>
      <c r="H203" s="288">
        <f>H164/H$37</f>
        <v>0</v>
      </c>
      <c r="I203" s="288">
        <f>I164/I$37</f>
        <v>0</v>
      </c>
      <c r="J203" s="288">
        <f>J164/J$37</f>
        <v>0</v>
      </c>
      <c r="K203" s="131"/>
      <c r="L203" s="131"/>
      <c r="M203" s="131"/>
      <c r="N203" s="131"/>
      <c r="O203" s="131"/>
      <c r="P203" s="131"/>
      <c r="Q203" s="131"/>
      <c r="R203" s="131"/>
      <c r="S203" s="131"/>
      <c r="T203" s="131"/>
      <c r="V203" s="546"/>
    </row>
    <row r="204" spans="3:22" outlineLevel="4" x14ac:dyDescent="0.2">
      <c r="C204" s="109" t="s">
        <v>168</v>
      </c>
      <c r="D204" s="45" t="s">
        <v>295</v>
      </c>
      <c r="E204" s="38"/>
      <c r="F204" s="38"/>
      <c r="G204" s="285"/>
      <c r="H204" s="287">
        <f>H165/H$37</f>
        <v>10.828547990155865</v>
      </c>
      <c r="I204" s="287">
        <f>I165/I$37</f>
        <v>21.912350597609564</v>
      </c>
      <c r="J204" s="287">
        <f t="shared" ref="J204:T204" si="326">J165/J$37</f>
        <v>112.26176838019997</v>
      </c>
      <c r="K204" s="287">
        <f t="shared" si="326"/>
        <v>165.16257088226038</v>
      </c>
      <c r="L204" s="287">
        <f t="shared" si="326"/>
        <v>205.01834164814557</v>
      </c>
      <c r="M204" s="287">
        <f t="shared" si="326"/>
        <v>243.20188660936589</v>
      </c>
      <c r="N204" s="287">
        <f t="shared" si="326"/>
        <v>277.50195839915222</v>
      </c>
      <c r="O204" s="287">
        <f t="shared" si="326"/>
        <v>306.48330601484474</v>
      </c>
      <c r="P204" s="287">
        <f t="shared" si="326"/>
        <v>333.71178659116242</v>
      </c>
      <c r="Q204" s="287">
        <f t="shared" si="326"/>
        <v>359.61308127923144</v>
      </c>
      <c r="R204" s="287">
        <f t="shared" si="326"/>
        <v>386.37541031274208</v>
      </c>
      <c r="S204" s="287">
        <f t="shared" si="326"/>
        <v>414.07212756503702</v>
      </c>
      <c r="T204" s="287">
        <f t="shared" si="326"/>
        <v>442.8018523198437</v>
      </c>
      <c r="V204" s="546">
        <f>(T204/I204)^(1/11)-1</f>
        <v>0.3142672268291069</v>
      </c>
    </row>
    <row r="205" spans="3:22" outlineLevel="4" x14ac:dyDescent="0.2">
      <c r="C205" s="108" t="s">
        <v>148</v>
      </c>
      <c r="E205" s="1"/>
      <c r="F205" s="1"/>
      <c r="G205" s="52"/>
      <c r="H205" s="52"/>
      <c r="I205" s="52">
        <f>IFERROR(I204/H204-1,"")</f>
        <v>1.0235723771580347</v>
      </c>
      <c r="J205" s="52">
        <f t="shared" ref="J205:T205" si="327">IFERROR(J204/I204-1,"")</f>
        <v>4.1232188842600346</v>
      </c>
      <c r="K205" s="52">
        <f t="shared" si="327"/>
        <v>0.47122723314761839</v>
      </c>
      <c r="L205" s="52">
        <f t="shared" si="327"/>
        <v>0.24131236607050166</v>
      </c>
      <c r="M205" s="52">
        <f t="shared" si="327"/>
        <v>0.18624453136369268</v>
      </c>
      <c r="N205" s="52">
        <f t="shared" si="327"/>
        <v>0.14103538532527726</v>
      </c>
      <c r="O205" s="52">
        <f t="shared" si="327"/>
        <v>0.10443655166572352</v>
      </c>
      <c r="P205" s="52">
        <f t="shared" si="327"/>
        <v>8.8841643384644398E-2</v>
      </c>
      <c r="Q205" s="52">
        <f t="shared" si="327"/>
        <v>7.7615762249959808E-2</v>
      </c>
      <c r="R205" s="52">
        <f t="shared" si="327"/>
        <v>7.4419787340078036E-2</v>
      </c>
      <c r="S205" s="52">
        <f t="shared" si="327"/>
        <v>7.1683436660413991E-2</v>
      </c>
      <c r="T205" s="52">
        <f t="shared" si="327"/>
        <v>6.9383382368073621E-2</v>
      </c>
    </row>
    <row r="206" spans="3:22" outlineLevel="4" x14ac:dyDescent="0.2">
      <c r="C206" s="108" t="s">
        <v>241</v>
      </c>
      <c r="E206" s="1"/>
      <c r="F206" s="1"/>
      <c r="G206" s="52"/>
      <c r="H206" s="52">
        <f t="shared" ref="H206:T206" si="328">IFERROR(H204/H$604,"")</f>
        <v>1.1834478677765973E-2</v>
      </c>
      <c r="I206" s="52">
        <f t="shared" si="328"/>
        <v>2.384368944244784E-2</v>
      </c>
      <c r="J206" s="52">
        <f t="shared" si="328"/>
        <v>0.1087240061409358</v>
      </c>
      <c r="K206" s="52">
        <f t="shared" si="328"/>
        <v>0.14723741103152393</v>
      </c>
      <c r="L206" s="52">
        <f t="shared" si="328"/>
        <v>0.16965364950411727</v>
      </c>
      <c r="M206" s="52">
        <f t="shared" si="328"/>
        <v>0.18840846564939159</v>
      </c>
      <c r="N206" s="52">
        <f t="shared" si="328"/>
        <v>0.20473568847119469</v>
      </c>
      <c r="O206" s="52">
        <f t="shared" si="328"/>
        <v>0.21537707761576713</v>
      </c>
      <c r="P206" s="52">
        <f t="shared" si="328"/>
        <v>0.22341009419005656</v>
      </c>
      <c r="Q206" s="52">
        <f t="shared" si="328"/>
        <v>0.22939327372880006</v>
      </c>
      <c r="R206" s="52">
        <f t="shared" si="328"/>
        <v>0.23498026482914955</v>
      </c>
      <c r="S206" s="52">
        <f t="shared" si="328"/>
        <v>0.24023290355590668</v>
      </c>
      <c r="T206" s="52">
        <f t="shared" si="328"/>
        <v>0.24511788043120147</v>
      </c>
    </row>
    <row r="207" spans="3:22" outlineLevel="4" x14ac:dyDescent="0.2">
      <c r="C207" s="108" t="s">
        <v>975</v>
      </c>
      <c r="E207" s="1"/>
      <c r="F207" s="1"/>
      <c r="G207" s="52"/>
      <c r="H207" s="52"/>
      <c r="I207" s="52">
        <f>(I206-H206)/4</f>
        <v>3.0023026911704669E-3</v>
      </c>
      <c r="J207" s="52">
        <f t="shared" ref="J207:T207" si="329">(J206-I206)/4</f>
        <v>2.122007917462199E-2</v>
      </c>
      <c r="K207" s="52">
        <f t="shared" si="329"/>
        <v>9.628351222647033E-3</v>
      </c>
      <c r="L207" s="52">
        <f t="shared" si="329"/>
        <v>5.6040596181483326E-3</v>
      </c>
      <c r="M207" s="52">
        <f t="shared" si="329"/>
        <v>4.688704036318582E-3</v>
      </c>
      <c r="N207" s="52">
        <f t="shared" si="329"/>
        <v>4.081805705450775E-3</v>
      </c>
      <c r="O207" s="52">
        <f t="shared" si="329"/>
        <v>2.6603472861431096E-3</v>
      </c>
      <c r="P207" s="52">
        <f t="shared" si="329"/>
        <v>2.0082541435723564E-3</v>
      </c>
      <c r="Q207" s="52">
        <f t="shared" si="329"/>
        <v>1.4957948846858748E-3</v>
      </c>
      <c r="R207" s="52">
        <f t="shared" si="329"/>
        <v>1.396747775087373E-3</v>
      </c>
      <c r="S207" s="52">
        <f t="shared" si="329"/>
        <v>1.3131596816892827E-3</v>
      </c>
      <c r="T207" s="52">
        <f t="shared" si="329"/>
        <v>1.2212442188236985E-3</v>
      </c>
    </row>
    <row r="208" spans="3:22" outlineLevel="4" x14ac:dyDescent="0.2">
      <c r="C208" s="108"/>
      <c r="E208" s="1"/>
      <c r="F208" s="1"/>
      <c r="G208" s="52"/>
      <c r="H208" s="52"/>
      <c r="I208" s="52"/>
      <c r="J208" s="52"/>
      <c r="K208" s="52"/>
      <c r="L208" s="52"/>
      <c r="M208" s="52"/>
      <c r="N208" s="52"/>
      <c r="O208" s="52"/>
      <c r="P208" s="52"/>
      <c r="Q208" s="52"/>
      <c r="R208" s="52"/>
      <c r="S208" s="52"/>
      <c r="T208" s="52"/>
    </row>
    <row r="209" spans="3:22" outlineLevel="4" x14ac:dyDescent="0.2">
      <c r="C209" s="111" t="s">
        <v>164</v>
      </c>
      <c r="E209" s="1"/>
      <c r="F209" s="1"/>
      <c r="G209" s="1"/>
      <c r="H209" s="1"/>
      <c r="I209" s="1"/>
      <c r="J209" s="1"/>
      <c r="K209" s="1"/>
      <c r="L209" s="1"/>
      <c r="M209" s="1"/>
      <c r="N209" s="1"/>
      <c r="O209" s="1"/>
      <c r="P209" s="1"/>
      <c r="Q209" s="1"/>
      <c r="R209" s="1"/>
      <c r="S209" s="1"/>
      <c r="T209" s="1"/>
    </row>
    <row r="210" spans="3:22" outlineLevel="4" x14ac:dyDescent="0.2">
      <c r="E210" s="1"/>
      <c r="F210" s="1"/>
      <c r="G210" s="1"/>
      <c r="H210" s="1"/>
      <c r="I210" s="1"/>
      <c r="J210" s="1"/>
      <c r="K210" s="1"/>
      <c r="L210" s="1"/>
      <c r="M210" s="1"/>
      <c r="N210" s="1"/>
      <c r="O210" s="1"/>
      <c r="P210" s="1"/>
      <c r="Q210" s="1"/>
      <c r="R210" s="1"/>
      <c r="S210" s="1"/>
      <c r="T210" s="1"/>
    </row>
    <row r="211" spans="3:22" outlineLevel="4" x14ac:dyDescent="0.2">
      <c r="C211" s="113" t="s">
        <v>174</v>
      </c>
      <c r="D211" s="43" t="s">
        <v>614</v>
      </c>
      <c r="E211" s="1"/>
      <c r="F211" s="1"/>
      <c r="G211" s="116"/>
      <c r="H211" s="114">
        <v>7.5</v>
      </c>
      <c r="I211" s="115"/>
      <c r="J211" s="1"/>
      <c r="K211" s="1"/>
      <c r="L211" s="1"/>
      <c r="M211" s="1"/>
      <c r="N211" s="1"/>
      <c r="O211" s="1"/>
      <c r="P211" s="1"/>
      <c r="Q211" s="1"/>
      <c r="R211" s="1"/>
      <c r="S211" s="1"/>
      <c r="T211" s="1"/>
    </row>
    <row r="212" spans="3:22" outlineLevel="4" x14ac:dyDescent="0.2">
      <c r="C212" s="108" t="s">
        <v>169</v>
      </c>
      <c r="E212" s="1"/>
      <c r="F212" s="1"/>
      <c r="G212" s="117"/>
      <c r="H212" s="118"/>
      <c r="I212" s="117"/>
      <c r="J212" s="1"/>
      <c r="K212" s="1"/>
      <c r="L212" s="1"/>
      <c r="M212" s="1"/>
      <c r="N212" s="1"/>
      <c r="O212" s="1"/>
      <c r="P212" s="1"/>
      <c r="Q212" s="1"/>
      <c r="R212" s="1"/>
      <c r="S212" s="1"/>
      <c r="T212" s="1"/>
    </row>
    <row r="213" spans="3:22" outlineLevel="4" x14ac:dyDescent="0.2">
      <c r="C213" s="108" t="s">
        <v>175</v>
      </c>
      <c r="E213" s="1"/>
      <c r="F213" s="1"/>
      <c r="G213" s="116"/>
      <c r="H213" s="85">
        <f>H211/H215</f>
        <v>0.27777777777777779</v>
      </c>
      <c r="I213" s="85"/>
      <c r="J213" s="40"/>
      <c r="K213" s="40"/>
      <c r="L213" s="40"/>
      <c r="M213" s="40"/>
      <c r="N213" s="40"/>
      <c r="O213" s="40"/>
      <c r="P213" s="40"/>
      <c r="Q213" s="40"/>
      <c r="R213" s="40"/>
      <c r="S213" s="40"/>
      <c r="T213" s="40"/>
    </row>
    <row r="214" spans="3:22" outlineLevel="4" x14ac:dyDescent="0.2">
      <c r="E214" s="1"/>
      <c r="F214" s="1"/>
      <c r="G214" s="1"/>
      <c r="H214" s="1"/>
      <c r="I214" s="1"/>
      <c r="J214" s="1"/>
      <c r="K214" s="1"/>
      <c r="L214" s="1"/>
      <c r="M214" s="1"/>
      <c r="N214" s="1"/>
      <c r="O214" s="1"/>
      <c r="P214" s="1"/>
      <c r="Q214" s="1"/>
      <c r="R214" s="1"/>
      <c r="S214" s="1"/>
      <c r="T214" s="1"/>
    </row>
    <row r="215" spans="3:22" outlineLevel="4" x14ac:dyDescent="0.2">
      <c r="C215" s="113" t="s">
        <v>176</v>
      </c>
      <c r="D215" s="43" t="s">
        <v>614</v>
      </c>
      <c r="E215" s="1"/>
      <c r="F215" s="1"/>
      <c r="G215" s="114">
        <v>25</v>
      </c>
      <c r="H215" s="114">
        <v>27</v>
      </c>
      <c r="I215" s="114">
        <v>28</v>
      </c>
      <c r="J215" s="130">
        <f t="shared" ref="J215:O215" si="330">I215+J216</f>
        <v>28.5</v>
      </c>
      <c r="K215" s="130">
        <f t="shared" si="330"/>
        <v>29</v>
      </c>
      <c r="L215" s="130">
        <f t="shared" si="330"/>
        <v>29.5</v>
      </c>
      <c r="M215" s="130">
        <f t="shared" si="330"/>
        <v>30</v>
      </c>
      <c r="N215" s="130">
        <f t="shared" si="330"/>
        <v>30.5</v>
      </c>
      <c r="O215" s="130">
        <f t="shared" si="330"/>
        <v>31</v>
      </c>
      <c r="P215" s="130">
        <f t="shared" ref="P215" si="331">O215+P216</f>
        <v>31.5</v>
      </c>
      <c r="Q215" s="130">
        <f t="shared" ref="Q215" si="332">P215+Q216</f>
        <v>32</v>
      </c>
      <c r="R215" s="130">
        <f t="shared" ref="R215" si="333">Q215+R216</f>
        <v>32.5</v>
      </c>
      <c r="S215" s="130">
        <f t="shared" ref="S215" si="334">R215+S216</f>
        <v>33</v>
      </c>
      <c r="T215" s="130">
        <f t="shared" ref="T215" si="335">S215+T216</f>
        <v>33.5</v>
      </c>
    </row>
    <row r="216" spans="3:22" outlineLevel="4" x14ac:dyDescent="0.2">
      <c r="C216" s="108" t="s">
        <v>143</v>
      </c>
      <c r="E216" s="1"/>
      <c r="F216" s="1"/>
      <c r="G216" s="116"/>
      <c r="H216" s="139">
        <f>H215-G215</f>
        <v>2</v>
      </c>
      <c r="I216" s="139">
        <f>I215-H215</f>
        <v>1</v>
      </c>
      <c r="J216" s="138">
        <v>0.5</v>
      </c>
      <c r="K216" s="138">
        <v>0.5</v>
      </c>
      <c r="L216" s="138">
        <v>0.5</v>
      </c>
      <c r="M216" s="138">
        <v>0.5</v>
      </c>
      <c r="N216" s="138">
        <v>0.5</v>
      </c>
      <c r="O216" s="138">
        <v>0.5</v>
      </c>
      <c r="P216" s="138">
        <v>0.5</v>
      </c>
      <c r="Q216" s="138">
        <v>0.5</v>
      </c>
      <c r="R216" s="138">
        <v>0.5</v>
      </c>
      <c r="S216" s="138">
        <v>0.5</v>
      </c>
      <c r="T216" s="138">
        <v>0.5</v>
      </c>
    </row>
    <row r="217" spans="3:22" outlineLevel="4" x14ac:dyDescent="0.2">
      <c r="C217" s="108" t="s">
        <v>173</v>
      </c>
      <c r="E217" s="1"/>
      <c r="F217" s="1"/>
      <c r="G217" s="85">
        <f t="shared" ref="G217:T217" si="336">IFERROR(G215/(G44/1000),"")</f>
        <v>0.60903170633679948</v>
      </c>
      <c r="H217" s="85">
        <f t="shared" si="336"/>
        <v>0.71555713437495116</v>
      </c>
      <c r="I217" s="85">
        <f t="shared" si="336"/>
        <v>0.73956250810052071</v>
      </c>
      <c r="J217" s="85">
        <f t="shared" si="336"/>
        <v>0.75883969905187354</v>
      </c>
      <c r="K217" s="85">
        <f t="shared" si="336"/>
        <v>0.77837971393974015</v>
      </c>
      <c r="L217" s="85">
        <f t="shared" si="336"/>
        <v>0.79818553814037574</v>
      </c>
      <c r="M217" s="85">
        <f t="shared" si="336"/>
        <v>0.81826018808813816</v>
      </c>
      <c r="N217" s="85">
        <f t="shared" si="336"/>
        <v>0.83860671158226541</v>
      </c>
      <c r="O217" s="85">
        <f t="shared" si="336"/>
        <v>0.8592281880965833</v>
      </c>
      <c r="P217" s="85">
        <f t="shared" si="336"/>
        <v>0.88012772909216885</v>
      </c>
      <c r="Q217" s="85">
        <f t="shared" si="336"/>
        <v>0.90130847833299421</v>
      </c>
      <c r="R217" s="85">
        <f t="shared" si="336"/>
        <v>0.92277361220458409</v>
      </c>
      <c r="S217" s="85">
        <f t="shared" si="336"/>
        <v>0.94452634003570968</v>
      </c>
      <c r="T217" s="85">
        <f t="shared" si="336"/>
        <v>0.96656990442315094</v>
      </c>
    </row>
    <row r="218" spans="3:22" outlineLevel="4" x14ac:dyDescent="0.2">
      <c r="E218" s="1"/>
      <c r="F218" s="1"/>
      <c r="G218" s="1"/>
      <c r="H218" s="1"/>
      <c r="I218" s="1"/>
      <c r="J218" s="1"/>
      <c r="K218" s="1"/>
      <c r="L218" s="1"/>
      <c r="M218" s="1"/>
      <c r="N218" s="1"/>
      <c r="O218" s="1"/>
      <c r="P218" s="1"/>
      <c r="Q218" s="1"/>
      <c r="R218" s="1"/>
      <c r="S218" s="1"/>
      <c r="T218" s="1"/>
    </row>
    <row r="219" spans="3:22" outlineLevel="4" x14ac:dyDescent="0.2">
      <c r="C219" s="113" t="s">
        <v>171</v>
      </c>
      <c r="D219" s="43" t="s">
        <v>614</v>
      </c>
      <c r="E219" s="1"/>
      <c r="F219" s="1"/>
      <c r="G219" s="243">
        <v>1.5</v>
      </c>
      <c r="H219" s="243">
        <v>2.5</v>
      </c>
      <c r="I219" s="243">
        <v>2.4</v>
      </c>
      <c r="J219" s="139">
        <f t="shared" ref="J219:O219" si="337">J220*J215</f>
        <v>2.8703571428571428</v>
      </c>
      <c r="K219" s="139">
        <f t="shared" si="337"/>
        <v>3.3557142857142859</v>
      </c>
      <c r="L219" s="139">
        <f t="shared" si="337"/>
        <v>3.5610714285714287</v>
      </c>
      <c r="M219" s="139">
        <f t="shared" si="337"/>
        <v>3.7714285714285718</v>
      </c>
      <c r="N219" s="139">
        <f t="shared" si="337"/>
        <v>3.9867857142857148</v>
      </c>
      <c r="O219" s="139">
        <f t="shared" si="337"/>
        <v>4.2071428571428573</v>
      </c>
      <c r="P219" s="139">
        <f t="shared" ref="P219:T219" si="338">P220*P215</f>
        <v>4.432500000000001</v>
      </c>
      <c r="Q219" s="139">
        <f t="shared" si="338"/>
        <v>4.6628571428571437</v>
      </c>
      <c r="R219" s="139">
        <f t="shared" si="338"/>
        <v>4.8982142857142863</v>
      </c>
      <c r="S219" s="139">
        <f t="shared" si="338"/>
        <v>5.1385714285714297</v>
      </c>
      <c r="T219" s="139">
        <f t="shared" si="338"/>
        <v>5.383928571428573</v>
      </c>
    </row>
    <row r="220" spans="3:22" outlineLevel="4" x14ac:dyDescent="0.2">
      <c r="C220" s="108" t="s">
        <v>172</v>
      </c>
      <c r="E220" s="1"/>
      <c r="F220" s="1"/>
      <c r="G220" s="85">
        <f>G219/G215</f>
        <v>0.06</v>
      </c>
      <c r="H220" s="85">
        <f>H219/H215</f>
        <v>9.2592592592592587E-2</v>
      </c>
      <c r="I220" s="85">
        <f>I219/I215</f>
        <v>8.5714285714285715E-2</v>
      </c>
      <c r="J220" s="69">
        <f>MIN(I220+1.5%,50%)</f>
        <v>0.10071428571428571</v>
      </c>
      <c r="K220" s="69">
        <f t="shared" ref="K220" si="339">MIN(J220+1.5%,50%)</f>
        <v>0.11571428571428571</v>
      </c>
      <c r="L220" s="69">
        <f>MIN(K220+0.5%,50%)</f>
        <v>0.12071428571428572</v>
      </c>
      <c r="M220" s="69">
        <f t="shared" ref="M220:O220" si="340">MIN(L220+0.5%,50%)</f>
        <v>0.12571428571428572</v>
      </c>
      <c r="N220" s="69">
        <f t="shared" si="340"/>
        <v>0.13071428571428573</v>
      </c>
      <c r="O220" s="69">
        <f t="shared" si="340"/>
        <v>0.13571428571428573</v>
      </c>
      <c r="P220" s="69">
        <f t="shared" ref="P220" si="341">MIN(O220+0.5%,50%)</f>
        <v>0.14071428571428574</v>
      </c>
      <c r="Q220" s="69">
        <f t="shared" ref="Q220" si="342">MIN(P220+0.5%,50%)</f>
        <v>0.14571428571428574</v>
      </c>
      <c r="R220" s="69">
        <f t="shared" ref="R220" si="343">MIN(Q220+0.5%,50%)</f>
        <v>0.15071428571428575</v>
      </c>
      <c r="S220" s="69">
        <f t="shared" ref="S220" si="344">MIN(R220+0.5%,50%)</f>
        <v>0.15571428571428575</v>
      </c>
      <c r="T220" s="69">
        <f t="shared" ref="T220" si="345">MIN(S220+0.5%,50%)</f>
        <v>0.16071428571428575</v>
      </c>
    </row>
    <row r="221" spans="3:22" outlineLevel="4" x14ac:dyDescent="0.2">
      <c r="C221" s="108" t="s">
        <v>173</v>
      </c>
      <c r="E221" s="1"/>
      <c r="F221" s="1"/>
      <c r="G221" s="85">
        <f t="shared" ref="G221:T221" si="346">IFERROR(G219/(G44/1000),"")</f>
        <v>3.654190238020797E-2</v>
      </c>
      <c r="H221" s="85">
        <f t="shared" si="346"/>
        <v>6.6255290219902882E-2</v>
      </c>
      <c r="I221" s="85">
        <f t="shared" si="346"/>
        <v>6.3391072122901765E-2</v>
      </c>
      <c r="J221" s="85">
        <f t="shared" si="346"/>
        <v>7.6425998261652972E-2</v>
      </c>
      <c r="K221" s="85">
        <f t="shared" si="346"/>
        <v>9.0069652613027074E-2</v>
      </c>
      <c r="L221" s="85">
        <f t="shared" si="346"/>
        <v>9.6352397104088217E-2</v>
      </c>
      <c r="M221" s="85">
        <f t="shared" si="346"/>
        <v>0.10286699507393739</v>
      </c>
      <c r="N221" s="85">
        <f t="shared" si="346"/>
        <v>0.10961787729968185</v>
      </c>
      <c r="O221" s="85">
        <f t="shared" si="346"/>
        <v>0.11660953981310775</v>
      </c>
      <c r="P221" s="85">
        <f t="shared" si="346"/>
        <v>0.12384654473654093</v>
      </c>
      <c r="Q221" s="85">
        <f t="shared" si="346"/>
        <v>0.13133352112852203</v>
      </c>
      <c r="R221" s="85">
        <f t="shared" si="346"/>
        <v>0.13907516583940518</v>
      </c>
      <c r="S221" s="85">
        <f t="shared" si="346"/>
        <v>0.1470762443769891</v>
      </c>
      <c r="T221" s="85">
        <f t="shared" si="346"/>
        <v>0.15534159178229215</v>
      </c>
    </row>
    <row r="222" spans="3:22" outlineLevel="4" x14ac:dyDescent="0.2">
      <c r="C222" s="113"/>
      <c r="E222" s="1"/>
      <c r="F222" s="1"/>
      <c r="G222" s="116"/>
      <c r="H222" s="85"/>
      <c r="I222" s="85"/>
      <c r="J222" s="1"/>
      <c r="K222" s="1"/>
      <c r="L222" s="1"/>
      <c r="M222" s="1"/>
      <c r="N222" s="1"/>
      <c r="O222" s="1"/>
      <c r="P222" s="1"/>
      <c r="Q222" s="1"/>
      <c r="R222" s="1"/>
      <c r="S222" s="1"/>
      <c r="T222" s="1"/>
    </row>
    <row r="223" spans="3:22" outlineLevel="4" x14ac:dyDescent="0.2">
      <c r="C223" s="113" t="s">
        <v>137</v>
      </c>
      <c r="D223" s="43" t="s">
        <v>395</v>
      </c>
      <c r="E223" s="1"/>
      <c r="F223" s="1"/>
      <c r="G223" s="116"/>
      <c r="H223" s="139">
        <f>H227/AVERAGE(H219,G219)/12</f>
        <v>5.5224441580756007</v>
      </c>
      <c r="I223" s="139">
        <f>I227/AVERAGE(I219,H219)/12</f>
        <v>6.9965986394557822</v>
      </c>
      <c r="J223" s="139">
        <f t="shared" ref="J223:O223" si="347">I223*(1+J224)</f>
        <v>7.6962585034013609</v>
      </c>
      <c r="K223" s="139">
        <f t="shared" si="347"/>
        <v>8.4658843537414974</v>
      </c>
      <c r="L223" s="139">
        <f t="shared" si="347"/>
        <v>9.3124727891156471</v>
      </c>
      <c r="M223" s="139">
        <f t="shared" si="347"/>
        <v>10.243720068027212</v>
      </c>
      <c r="N223" s="139">
        <f t="shared" si="347"/>
        <v>11.268092074829934</v>
      </c>
      <c r="O223" s="139">
        <f t="shared" si="347"/>
        <v>12.394901282312928</v>
      </c>
      <c r="P223" s="139">
        <f t="shared" ref="P223" si="348">O223*(1+P224)</f>
        <v>13.634391410544222</v>
      </c>
      <c r="Q223" s="139">
        <f t="shared" ref="Q223" si="349">P223*(1+Q224)</f>
        <v>14.997830551598645</v>
      </c>
      <c r="R223" s="139">
        <f t="shared" ref="R223" si="350">Q223*(1+R224)</f>
        <v>16.49761360675851</v>
      </c>
      <c r="S223" s="139">
        <f t="shared" ref="S223" si="351">R223*(1+S224)</f>
        <v>18.147374967434363</v>
      </c>
      <c r="T223" s="139">
        <f t="shared" ref="T223" si="352">S223*(1+T224)</f>
        <v>19.9621124641778</v>
      </c>
      <c r="V223" s="1" t="s">
        <v>974</v>
      </c>
    </row>
    <row r="224" spans="3:22" outlineLevel="4" x14ac:dyDescent="0.2">
      <c r="C224" s="108" t="s">
        <v>169</v>
      </c>
      <c r="E224" s="1"/>
      <c r="F224" s="1"/>
      <c r="G224" s="116"/>
      <c r="H224" s="115"/>
      <c r="I224" s="52">
        <f>IFERROR(I223/H223-1,"")</f>
        <v>0.26693877551020417</v>
      </c>
      <c r="J224" s="68">
        <v>0.1</v>
      </c>
      <c r="K224" s="69">
        <v>0.1</v>
      </c>
      <c r="L224" s="69">
        <v>0.1</v>
      </c>
      <c r="M224" s="69">
        <v>0.1</v>
      </c>
      <c r="N224" s="69">
        <v>0.1</v>
      </c>
      <c r="O224" s="69">
        <v>0.1</v>
      </c>
      <c r="P224" s="69">
        <v>0.1</v>
      </c>
      <c r="Q224" s="69">
        <v>0.1</v>
      </c>
      <c r="R224" s="69">
        <v>0.1</v>
      </c>
      <c r="S224" s="69">
        <v>0.1</v>
      </c>
      <c r="T224" s="69">
        <v>0.1</v>
      </c>
    </row>
    <row r="225" spans="3:21" outlineLevel="4" x14ac:dyDescent="0.2">
      <c r="E225" s="1"/>
      <c r="F225" s="1"/>
      <c r="G225" s="1"/>
      <c r="H225" s="1"/>
      <c r="I225" s="1"/>
      <c r="J225" s="1"/>
      <c r="K225" s="1"/>
      <c r="L225" s="1"/>
      <c r="M225" s="1"/>
      <c r="N225" s="1"/>
      <c r="O225" s="1"/>
      <c r="P225" s="1"/>
      <c r="Q225" s="1"/>
      <c r="R225" s="1"/>
      <c r="S225" s="1"/>
      <c r="T225" s="1"/>
    </row>
    <row r="226" spans="3:21" outlineLevel="4" x14ac:dyDescent="0.2">
      <c r="E226" s="1"/>
      <c r="F226" s="1"/>
      <c r="G226" s="1"/>
      <c r="H226" s="1"/>
      <c r="I226" s="1"/>
      <c r="J226" s="1"/>
      <c r="K226" s="1"/>
      <c r="L226" s="1"/>
      <c r="M226" s="1"/>
      <c r="N226" s="1"/>
      <c r="O226" s="1"/>
      <c r="P226" s="1"/>
      <c r="Q226" s="1"/>
      <c r="R226" s="1"/>
      <c r="S226" s="1"/>
      <c r="T226" s="1"/>
    </row>
    <row r="227" spans="3:21" ht="13.5" outlineLevel="4" thickBot="1" x14ac:dyDescent="0.25">
      <c r="C227" s="5" t="s">
        <v>177</v>
      </c>
      <c r="D227" s="54" t="s">
        <v>406</v>
      </c>
      <c r="E227" s="55"/>
      <c r="F227" s="55"/>
      <c r="G227" s="55"/>
      <c r="H227" s="250">
        <v>132.53865979381442</v>
      </c>
      <c r="I227" s="250">
        <v>205.7</v>
      </c>
      <c r="J227" s="25">
        <f t="shared" ref="J227:T227" si="353">J219*J223*12</f>
        <v>265.09212682215741</v>
      </c>
      <c r="K227" s="25">
        <f t="shared" si="353"/>
        <v>340.9090688046648</v>
      </c>
      <c r="L227" s="25">
        <f t="shared" si="353"/>
        <v>397.94856934402333</v>
      </c>
      <c r="M227" s="25">
        <f t="shared" si="353"/>
        <v>463.60150250728873</v>
      </c>
      <c r="N227" s="25">
        <f t="shared" si="353"/>
        <v>539.0816221342568</v>
      </c>
      <c r="O227" s="25">
        <f t="shared" si="353"/>
        <v>625.76544473848412</v>
      </c>
      <c r="P227" s="25">
        <f t="shared" si="353"/>
        <v>725.21327912684728</v>
      </c>
      <c r="Q227" s="25">
        <f t="shared" si="353"/>
        <v>839.19289577859399</v>
      </c>
      <c r="R227" s="25">
        <f t="shared" si="353"/>
        <v>969.70615978582714</v>
      </c>
      <c r="S227" s="25">
        <f t="shared" si="353"/>
        <v>1119.0189901347671</v>
      </c>
      <c r="T227" s="25">
        <f t="shared" si="353"/>
        <v>1289.6950517034875</v>
      </c>
      <c r="U227" s="52">
        <f>(T227/I227)^(1/11)-1</f>
        <v>0.18161915326151057</v>
      </c>
    </row>
    <row r="228" spans="3:21" ht="13.5" outlineLevel="4" thickTop="1" x14ac:dyDescent="0.2">
      <c r="C228" s="1" t="s">
        <v>148</v>
      </c>
      <c r="E228" s="1"/>
      <c r="F228" s="1"/>
      <c r="G228" s="1"/>
      <c r="H228" s="1"/>
      <c r="I228" s="52">
        <f>IFERROR(I227/H227-1,"")</f>
        <v>0.55200000000000005</v>
      </c>
      <c r="J228" s="52">
        <f>IFERROR(J227/I227-1,"")</f>
        <v>0.288731778425656</v>
      </c>
      <c r="K228" s="52">
        <f t="shared" ref="K228:O228" si="354">IFERROR(K227/J227-1,"")</f>
        <v>0.28600223964165772</v>
      </c>
      <c r="L228" s="52">
        <f t="shared" si="354"/>
        <v>0.16731587909748802</v>
      </c>
      <c r="M228" s="52">
        <f t="shared" si="354"/>
        <v>0.16497843746865937</v>
      </c>
      <c r="N228" s="52">
        <f t="shared" si="354"/>
        <v>0.16281250000000025</v>
      </c>
      <c r="O228" s="52">
        <f t="shared" si="354"/>
        <v>0.1607990683508016</v>
      </c>
      <c r="P228" s="52">
        <f t="shared" ref="P228" si="355">IFERROR(P227/O227-1,"")</f>
        <v>0.15892190152801389</v>
      </c>
      <c r="Q228" s="52">
        <f t="shared" ref="Q228" si="356">IFERROR(Q227/P227-1,"")</f>
        <v>0.15716702924824744</v>
      </c>
      <c r="R228" s="52">
        <f t="shared" ref="R228" si="357">IFERROR(R227/Q227-1,"")</f>
        <v>0.15552236519607843</v>
      </c>
      <c r="S228" s="52">
        <f t="shared" ref="S228" si="358">IFERROR(S227/R227-1,"")</f>
        <v>0.15397739701057245</v>
      </c>
      <c r="T228" s="52">
        <f t="shared" ref="T228" si="359">IFERROR(T227/S227-1,"")</f>
        <v>0.15252293577981657</v>
      </c>
    </row>
    <row r="229" spans="3:21" s="58" customFormat="1" outlineLevel="4" x14ac:dyDescent="0.2">
      <c r="C229" s="58" t="s">
        <v>961</v>
      </c>
      <c r="D229" s="43"/>
      <c r="H229" s="492">
        <v>132.53865979381442</v>
      </c>
      <c r="I229" s="492">
        <v>205.7</v>
      </c>
    </row>
    <row r="230" spans="3:21" outlineLevel="4" x14ac:dyDescent="0.2">
      <c r="C230" s="119" t="s">
        <v>178</v>
      </c>
      <c r="D230" s="120"/>
      <c r="E230" s="119"/>
      <c r="F230" s="119"/>
      <c r="G230" s="119"/>
      <c r="H230" s="119"/>
      <c r="I230" s="119"/>
      <c r="J230" s="119"/>
      <c r="K230" s="119"/>
      <c r="L230" s="119" t="s">
        <v>179</v>
      </c>
      <c r="M230" s="119"/>
      <c r="N230" s="119"/>
      <c r="O230" s="119"/>
      <c r="P230" s="119"/>
      <c r="Q230" s="119"/>
      <c r="R230" s="119"/>
      <c r="S230" s="119"/>
      <c r="T230" s="119"/>
    </row>
    <row r="231" spans="3:21" outlineLevel="4" x14ac:dyDescent="0.2">
      <c r="E231" s="1"/>
      <c r="F231" s="1"/>
      <c r="G231" s="1"/>
      <c r="H231" s="1"/>
      <c r="I231" s="13"/>
      <c r="J231" s="1"/>
      <c r="K231" s="1"/>
      <c r="L231" s="52">
        <f>((L227/H227)^(1/4)-1)</f>
        <v>0.31634913756882499</v>
      </c>
      <c r="M231" s="1"/>
      <c r="N231" s="1"/>
      <c r="O231" s="1"/>
      <c r="P231" s="1"/>
      <c r="Q231" s="1"/>
      <c r="R231" s="1"/>
      <c r="S231" s="1"/>
      <c r="T231" s="1"/>
    </row>
    <row r="232" spans="3:21" outlineLevel="4" x14ac:dyDescent="0.2">
      <c r="E232" s="1"/>
      <c r="F232" s="1"/>
      <c r="G232" s="1"/>
      <c r="H232" s="1"/>
      <c r="I232" s="1"/>
      <c r="J232" s="1"/>
      <c r="K232" s="1"/>
      <c r="L232" s="52"/>
      <c r="M232" s="1"/>
      <c r="N232" s="1"/>
      <c r="O232" s="1"/>
      <c r="P232" s="1"/>
      <c r="Q232" s="1"/>
      <c r="R232" s="1"/>
      <c r="S232" s="1"/>
      <c r="T232" s="1"/>
    </row>
    <row r="233" spans="3:21" outlineLevel="4" x14ac:dyDescent="0.2">
      <c r="C233" s="113" t="s">
        <v>409</v>
      </c>
      <c r="D233" s="43" t="s">
        <v>144</v>
      </c>
      <c r="E233" s="1"/>
      <c r="F233" s="1"/>
      <c r="G233" s="1"/>
      <c r="H233" s="279">
        <f t="shared" ref="H233:T233" si="360">H223/H$37</f>
        <v>0.15101023128453925</v>
      </c>
      <c r="I233" s="279">
        <f t="shared" si="360"/>
        <v>0.17421809361194679</v>
      </c>
      <c r="J233" s="279">
        <f t="shared" si="360"/>
        <v>0.18397430685421581</v>
      </c>
      <c r="K233" s="279">
        <f t="shared" si="360"/>
        <v>0.19427686803805191</v>
      </c>
      <c r="L233" s="279">
        <f t="shared" si="360"/>
        <v>0.20515637264818279</v>
      </c>
      <c r="M233" s="279">
        <f t="shared" si="360"/>
        <v>0.21664512951648104</v>
      </c>
      <c r="N233" s="279">
        <f t="shared" si="360"/>
        <v>0.22877725676940397</v>
      </c>
      <c r="O233" s="279">
        <f t="shared" si="360"/>
        <v>0.24158878314849061</v>
      </c>
      <c r="P233" s="279">
        <f t="shared" si="360"/>
        <v>0.2551177550048061</v>
      </c>
      <c r="Q233" s="279">
        <f t="shared" si="360"/>
        <v>0.26940434928507528</v>
      </c>
      <c r="R233" s="279">
        <f t="shared" si="360"/>
        <v>0.28449099284503948</v>
      </c>
      <c r="S233" s="279">
        <f t="shared" si="360"/>
        <v>0.30042248844436176</v>
      </c>
      <c r="T233" s="279">
        <f t="shared" si="360"/>
        <v>0.31724614779724603</v>
      </c>
    </row>
    <row r="234" spans="3:21" outlineLevel="4" x14ac:dyDescent="0.2">
      <c r="C234" s="108" t="s">
        <v>169</v>
      </c>
      <c r="E234" s="1"/>
      <c r="F234" s="1"/>
      <c r="G234" s="1"/>
      <c r="H234" s="1"/>
      <c r="I234" s="52">
        <f>IFERROR(I233/H233-1,"")</f>
        <v>0.15368403935279318</v>
      </c>
      <c r="J234" s="52">
        <f t="shared" ref="J234:T234" si="361">IFERROR(J233/I233-1,"")</f>
        <v>5.600000000000005E-2</v>
      </c>
      <c r="K234" s="52">
        <f t="shared" si="361"/>
        <v>5.600000000000005E-2</v>
      </c>
      <c r="L234" s="52">
        <f t="shared" si="361"/>
        <v>5.5999999999999828E-2</v>
      </c>
      <c r="M234" s="52">
        <f t="shared" si="361"/>
        <v>5.600000000000005E-2</v>
      </c>
      <c r="N234" s="52">
        <f t="shared" si="361"/>
        <v>5.5999999999999828E-2</v>
      </c>
      <c r="O234" s="52">
        <f t="shared" si="361"/>
        <v>5.600000000000005E-2</v>
      </c>
      <c r="P234" s="52">
        <f t="shared" si="361"/>
        <v>5.600000000000005E-2</v>
      </c>
      <c r="Q234" s="52">
        <f t="shared" si="361"/>
        <v>5.600000000000005E-2</v>
      </c>
      <c r="R234" s="52">
        <f t="shared" si="361"/>
        <v>5.5999999999999828E-2</v>
      </c>
      <c r="S234" s="52">
        <f t="shared" si="361"/>
        <v>5.6000000000000272E-2</v>
      </c>
      <c r="T234" s="52">
        <f t="shared" si="361"/>
        <v>5.600000000000005E-2</v>
      </c>
    </row>
    <row r="235" spans="3:21" outlineLevel="4" x14ac:dyDescent="0.2">
      <c r="E235" s="1"/>
      <c r="F235" s="1"/>
      <c r="G235" s="1"/>
      <c r="H235" s="1"/>
      <c r="I235" s="1"/>
      <c r="J235" s="1"/>
      <c r="K235" s="1"/>
      <c r="L235" s="52"/>
      <c r="M235" s="1"/>
      <c r="N235" s="1"/>
      <c r="O235" s="1"/>
      <c r="P235" s="1"/>
      <c r="Q235" s="1"/>
      <c r="R235" s="1"/>
      <c r="S235" s="1"/>
      <c r="T235" s="1"/>
    </row>
    <row r="236" spans="3:21" ht="13.5" outlineLevel="4" thickBot="1" x14ac:dyDescent="0.25">
      <c r="C236" s="5" t="s">
        <v>177</v>
      </c>
      <c r="D236" s="54" t="s">
        <v>295</v>
      </c>
      <c r="E236" s="55"/>
      <c r="F236" s="55"/>
      <c r="G236" s="55"/>
      <c r="H236" s="277">
        <f>H227/H$37</f>
        <v>3.6242455508289422</v>
      </c>
      <c r="I236" s="277">
        <f t="shared" ref="I236:T236" si="362">I227/I$37</f>
        <v>5.1220119521912348</v>
      </c>
      <c r="J236" s="277">
        <f t="shared" si="362"/>
        <v>6.3368635893742811</v>
      </c>
      <c r="K236" s="277">
        <f t="shared" si="362"/>
        <v>7.8232519375094398</v>
      </c>
      <c r="L236" s="277">
        <f t="shared" si="362"/>
        <v>8.7669179643215589</v>
      </c>
      <c r="M236" s="277">
        <f t="shared" si="362"/>
        <v>9.8047395758316007</v>
      </c>
      <c r="N236" s="277">
        <f t="shared" si="362"/>
        <v>10.945030788500818</v>
      </c>
      <c r="O236" s="277">
        <f t="shared" si="362"/>
        <v>12.196782280668083</v>
      </c>
      <c r="P236" s="277">
        <f t="shared" si="362"/>
        <v>13.56971338870564</v>
      </c>
      <c r="Q236" s="277">
        <f t="shared" si="362"/>
        <v>15.074327932568329</v>
      </c>
      <c r="R236" s="277">
        <f t="shared" si="362"/>
        <v>16.721974143727358</v>
      </c>
      <c r="S236" s="277">
        <f t="shared" si="362"/>
        <v>18.524908987446334</v>
      </c>
      <c r="T236" s="277">
        <f t="shared" si="362"/>
        <v>20.496367191614937</v>
      </c>
    </row>
    <row r="237" spans="3:21" ht="13.5" outlineLevel="4" thickTop="1" x14ac:dyDescent="0.2">
      <c r="C237" s="1" t="s">
        <v>148</v>
      </c>
      <c r="E237" s="1"/>
      <c r="F237" s="1"/>
      <c r="G237" s="1"/>
      <c r="H237" s="1"/>
      <c r="I237" s="52">
        <f>IFERROR(I236/H236-1,"")</f>
        <v>0.41326294820717147</v>
      </c>
      <c r="J237" s="52">
        <f t="shared" ref="J237" si="363">IFERROR(J236/I236-1,"")</f>
        <v>0.23718250728862977</v>
      </c>
      <c r="K237" s="52">
        <f t="shared" ref="K237" si="364">IFERROR(K236/J236-1,"")</f>
        <v>0.23456215005599135</v>
      </c>
      <c r="L237" s="52">
        <f t="shared" ref="L237" si="365">IFERROR(L236/K236-1,"")</f>
        <v>0.12062324393358836</v>
      </c>
      <c r="M237" s="52">
        <f t="shared" ref="M237" si="366">IFERROR(M236/L236-1,"")</f>
        <v>0.11837929996991314</v>
      </c>
      <c r="N237" s="52">
        <f t="shared" ref="N237" si="367">IFERROR(N236/M236-1,"")</f>
        <v>0.11630000000000007</v>
      </c>
      <c r="O237" s="52">
        <f t="shared" ref="O237" si="368">IFERROR(O236/N236-1,"")</f>
        <v>0.11436710561676944</v>
      </c>
      <c r="P237" s="52">
        <f t="shared" ref="P237" si="369">IFERROR(P236/O236-1,"")</f>
        <v>0.11256502546689351</v>
      </c>
      <c r="Q237" s="52">
        <f t="shared" ref="Q237" si="370">IFERROR(Q236/P236-1,"")</f>
        <v>0.11088034807831759</v>
      </c>
      <c r="R237" s="52">
        <f t="shared" ref="R237" si="371">IFERROR(R236/Q236-1,"")</f>
        <v>0.10930147058823514</v>
      </c>
      <c r="S237" s="52">
        <f t="shared" ref="S237" si="372">IFERROR(S236/R236-1,"")</f>
        <v>0.1078183011301499</v>
      </c>
      <c r="T237" s="52">
        <f t="shared" ref="T237" si="373">IFERROR(T236/S236-1,"")</f>
        <v>0.10642201834862397</v>
      </c>
    </row>
    <row r="238" spans="3:21" outlineLevel="4" x14ac:dyDescent="0.2">
      <c r="E238" s="1"/>
      <c r="F238" s="1"/>
      <c r="G238" s="1"/>
      <c r="H238" s="234">
        <f>H236/4</f>
        <v>0.90606138770723554</v>
      </c>
      <c r="I238" s="234">
        <f>I236/4</f>
        <v>1.2805029880478087</v>
      </c>
      <c r="J238" s="234">
        <f>J236/4</f>
        <v>1.5842158973435703</v>
      </c>
      <c r="K238" s="234">
        <f t="shared" ref="K238:T238" si="374">K236/4</f>
        <v>1.95581298437736</v>
      </c>
      <c r="L238" s="234">
        <f t="shared" si="374"/>
        <v>2.1917294910803897</v>
      </c>
      <c r="M238" s="234">
        <f t="shared" si="374"/>
        <v>2.4511848939579002</v>
      </c>
      <c r="N238" s="234">
        <f t="shared" si="374"/>
        <v>2.7362576971252044</v>
      </c>
      <c r="O238" s="234">
        <f t="shared" si="374"/>
        <v>3.0491955701670208</v>
      </c>
      <c r="P238" s="234">
        <f t="shared" si="374"/>
        <v>3.3924283471764101</v>
      </c>
      <c r="Q238" s="234">
        <f t="shared" si="374"/>
        <v>3.7685819831420821</v>
      </c>
      <c r="R238" s="234">
        <f t="shared" si="374"/>
        <v>4.1804935359318396</v>
      </c>
      <c r="S238" s="234">
        <f t="shared" si="374"/>
        <v>4.6312272468615836</v>
      </c>
      <c r="T238" s="234">
        <f t="shared" si="374"/>
        <v>5.1240917979037341</v>
      </c>
    </row>
    <row r="239" spans="3:21" outlineLevel="4" x14ac:dyDescent="0.2">
      <c r="C239" s="37" t="s">
        <v>1077</v>
      </c>
      <c r="E239" s="1"/>
      <c r="F239" s="1"/>
      <c r="G239" s="1"/>
      <c r="H239" s="1"/>
      <c r="I239" s="1"/>
      <c r="J239" s="1"/>
      <c r="K239" s="1"/>
      <c r="L239" s="52"/>
      <c r="M239" s="1"/>
      <c r="N239" s="1"/>
      <c r="O239" s="1"/>
      <c r="P239" s="1"/>
      <c r="Q239" s="1"/>
      <c r="R239" s="1"/>
      <c r="S239" s="1"/>
      <c r="T239" s="1"/>
    </row>
    <row r="240" spans="3:21" outlineLevel="4" x14ac:dyDescent="0.2">
      <c r="E240" s="1"/>
      <c r="F240" s="1"/>
      <c r="G240" s="1"/>
      <c r="H240" s="1"/>
      <c r="I240" s="1"/>
      <c r="J240" s="1"/>
      <c r="K240" s="1"/>
      <c r="L240" s="52"/>
      <c r="M240" s="1"/>
      <c r="N240" s="1"/>
      <c r="O240" s="1"/>
      <c r="P240" s="1"/>
      <c r="Q240" s="1"/>
      <c r="R240" s="1"/>
      <c r="S240" s="1"/>
      <c r="T240" s="1"/>
    </row>
    <row r="241" spans="3:26" outlineLevel="4" x14ac:dyDescent="0.2">
      <c r="C241" s="108" t="s">
        <v>171</v>
      </c>
      <c r="D241" s="43" t="s">
        <v>145</v>
      </c>
      <c r="G241" s="50">
        <f>H241/1.185</f>
        <v>1.0970464135021096</v>
      </c>
      <c r="H241" s="50">
        <v>1.3</v>
      </c>
      <c r="I241" s="50">
        <v>2</v>
      </c>
      <c r="J241" s="21">
        <f>I241+J242</f>
        <v>2.2999999999999998</v>
      </c>
      <c r="K241" s="21">
        <f t="shared" ref="K241:O241" si="375">J241+K242</f>
        <v>2.5999999999999996</v>
      </c>
      <c r="L241" s="21">
        <f t="shared" si="375"/>
        <v>2.8999999999999995</v>
      </c>
      <c r="M241" s="21">
        <f t="shared" si="375"/>
        <v>3.1999999999999993</v>
      </c>
      <c r="N241" s="21">
        <f t="shared" si="375"/>
        <v>3.4999999999999991</v>
      </c>
      <c r="O241" s="21">
        <f t="shared" si="375"/>
        <v>3.7999999999999989</v>
      </c>
      <c r="P241" s="21">
        <f t="shared" ref="P241" si="376">O241+P242</f>
        <v>4.0999999999999988</v>
      </c>
      <c r="Q241" s="21">
        <f t="shared" ref="Q241" si="377">P241+Q242</f>
        <v>4.3999999999999986</v>
      </c>
      <c r="R241" s="21">
        <f t="shared" ref="R241" si="378">Q241+R242</f>
        <v>4.6999999999999984</v>
      </c>
      <c r="S241" s="21">
        <f t="shared" ref="S241" si="379">R241+S242</f>
        <v>4.9999999999999982</v>
      </c>
      <c r="T241" s="21">
        <f t="shared" ref="T241" si="380">S241+T242</f>
        <v>5.299999999999998</v>
      </c>
    </row>
    <row r="242" spans="3:26" outlineLevel="4" x14ac:dyDescent="0.2">
      <c r="C242" s="108" t="s">
        <v>143</v>
      </c>
      <c r="H242" s="161"/>
      <c r="I242" s="139">
        <f>I241-H241</f>
        <v>0.7</v>
      </c>
      <c r="J242" s="162">
        <v>0.3</v>
      </c>
      <c r="K242" s="163">
        <v>0.3</v>
      </c>
      <c r="L242" s="163">
        <v>0.3</v>
      </c>
      <c r="M242" s="163">
        <v>0.3</v>
      </c>
      <c r="N242" s="163">
        <v>0.3</v>
      </c>
      <c r="O242" s="163">
        <v>0.3</v>
      </c>
      <c r="P242" s="163">
        <v>0.3</v>
      </c>
      <c r="Q242" s="163">
        <v>0.3</v>
      </c>
      <c r="R242" s="163">
        <v>0.3</v>
      </c>
      <c r="S242" s="163">
        <v>0.3</v>
      </c>
      <c r="T242" s="163">
        <v>0.3</v>
      </c>
    </row>
    <row r="243" spans="3:26" outlineLevel="4" x14ac:dyDescent="0.2">
      <c r="C243" s="108" t="s">
        <v>205</v>
      </c>
      <c r="E243" s="1"/>
      <c r="F243" s="1"/>
      <c r="G243" s="52"/>
      <c r="H243" s="52">
        <f t="shared" ref="H243:T243" si="381">H241*1000/H62</f>
        <v>5.4369175989551419E-2</v>
      </c>
      <c r="I243" s="52">
        <f t="shared" si="381"/>
        <v>8.6919792458134748E-2</v>
      </c>
      <c r="J243" s="52">
        <f t="shared" si="381"/>
        <v>9.9644911381449305E-2</v>
      </c>
      <c r="K243" s="52">
        <f t="shared" si="381"/>
        <v>0.11231783286110988</v>
      </c>
      <c r="L243" s="52">
        <f t="shared" si="381"/>
        <v>0.12494760781962697</v>
      </c>
      <c r="M243" s="52">
        <f t="shared" si="381"/>
        <v>0.13754289878276402</v>
      </c>
      <c r="N243" s="52">
        <f t="shared" si="381"/>
        <v>0.15011201114502598</v>
      </c>
      <c r="O243" s="52">
        <f t="shared" si="381"/>
        <v>0.16266292185652179</v>
      </c>
      <c r="P243" s="52">
        <f t="shared" si="381"/>
        <v>0.17520330578671547</v>
      </c>
      <c r="Q243" s="52">
        <f t="shared" si="381"/>
        <v>0.18774055999242872</v>
      </c>
      <c r="R243" s="52">
        <f t="shared" si="381"/>
        <v>0.20028182609276712</v>
      </c>
      <c r="S243" s="52">
        <f t="shared" si="381"/>
        <v>0.21283401093193666</v>
      </c>
      <c r="T243" s="52">
        <f t="shared" si="381"/>
        <v>0.22540380569181426</v>
      </c>
    </row>
    <row r="244" spans="3:26" outlineLevel="4" x14ac:dyDescent="0.2">
      <c r="C244" s="108" t="s">
        <v>283</v>
      </c>
      <c r="E244" s="1"/>
      <c r="F244" s="1"/>
      <c r="G244" s="52">
        <f t="shared" ref="G244:T244" si="382">G241*1000/G44</f>
        <v>2.6725441965834235E-2</v>
      </c>
      <c r="H244" s="52">
        <f t="shared" si="382"/>
        <v>3.4452750914349503E-2</v>
      </c>
      <c r="I244" s="52">
        <f t="shared" si="382"/>
        <v>5.2825893435751475E-2</v>
      </c>
      <c r="J244" s="52">
        <f t="shared" si="382"/>
        <v>6.1239695011203826E-2</v>
      </c>
      <c r="K244" s="52">
        <f t="shared" si="382"/>
        <v>6.9785767456666342E-2</v>
      </c>
      <c r="L244" s="52">
        <f t="shared" si="382"/>
        <v>7.8465696969731852E-2</v>
      </c>
      <c r="M244" s="52">
        <f t="shared" si="382"/>
        <v>8.728108672940138E-2</v>
      </c>
      <c r="N244" s="52">
        <f t="shared" si="382"/>
        <v>9.6233557066817313E-2</v>
      </c>
      <c r="O244" s="52">
        <f t="shared" si="382"/>
        <v>0.10532474563764568</v>
      </c>
      <c r="P244" s="52">
        <f t="shared" si="382"/>
        <v>0.11455630759612355</v>
      </c>
      <c r="Q244" s="52">
        <f t="shared" si="382"/>
        <v>0.12392991577078666</v>
      </c>
      <c r="R244" s="52">
        <f t="shared" si="382"/>
        <v>0.13344726084189365</v>
      </c>
      <c r="S244" s="52">
        <f t="shared" si="382"/>
        <v>0.143110051520562</v>
      </c>
      <c r="T244" s="52">
        <f t="shared" si="382"/>
        <v>0.15292001472963279</v>
      </c>
    </row>
    <row r="245" spans="3:26" outlineLevel="4" x14ac:dyDescent="0.2">
      <c r="C245" s="108"/>
      <c r="E245" s="1"/>
      <c r="F245" s="1"/>
      <c r="G245" s="1"/>
      <c r="H245" s="1"/>
      <c r="I245" s="1"/>
      <c r="J245" s="1"/>
      <c r="K245" s="1"/>
      <c r="L245" s="1"/>
      <c r="M245" s="1"/>
      <c r="N245" s="1"/>
      <c r="O245" s="1"/>
      <c r="P245" s="1"/>
      <c r="Q245" s="1"/>
      <c r="R245" s="1"/>
      <c r="S245" s="1"/>
      <c r="T245" s="1"/>
    </row>
    <row r="246" spans="3:26" outlineLevel="4" x14ac:dyDescent="0.2">
      <c r="C246" s="108" t="s">
        <v>137</v>
      </c>
      <c r="D246" s="43" t="s">
        <v>395</v>
      </c>
      <c r="H246" s="21">
        <f>H249/AVERAGE(H241,G241)/12</f>
        <v>7.365527167352262</v>
      </c>
      <c r="I246" s="21">
        <f>I249/AVERAGE(I241,H241)/12</f>
        <v>10.550505050505052</v>
      </c>
      <c r="J246" s="21">
        <f>I246*(1+J247)</f>
        <v>12.660606060606062</v>
      </c>
      <c r="K246" s="21">
        <f t="shared" ref="K246:O246" si="383">J246*(1+K247)</f>
        <v>14.939515151515153</v>
      </c>
      <c r="L246" s="21">
        <f t="shared" si="383"/>
        <v>17.359716606060605</v>
      </c>
      <c r="M246" s="21">
        <f t="shared" si="383"/>
        <v>19.890763287224239</v>
      </c>
      <c r="N246" s="21">
        <f t="shared" si="383"/>
        <v>22.500829245773804</v>
      </c>
      <c r="O246" s="21">
        <f t="shared" si="383"/>
        <v>25.1581321780412</v>
      </c>
      <c r="P246" s="21">
        <f t="shared" ref="P246" si="384">O246*(1+P247)</f>
        <v>27.832144762607278</v>
      </c>
      <c r="Q246" s="21">
        <f t="shared" ref="Q246" si="385">P246*(1+Q247)</f>
        <v>30.494550474668539</v>
      </c>
      <c r="R246" s="21">
        <f t="shared" ref="R246" si="386">Q246*(1+R247)</f>
        <v>33.119931287275492</v>
      </c>
      <c r="S246" s="21">
        <f t="shared" ref="S246" si="387">R246*(1+S247)</f>
        <v>35.686199282268028</v>
      </c>
      <c r="T246" s="21">
        <f t="shared" ref="T246" si="388">S246*(1+T247)</f>
        <v>38.174800942035816</v>
      </c>
      <c r="V246" s="1" t="s">
        <v>605</v>
      </c>
      <c r="X246" s="146"/>
      <c r="Y246" s="52">
        <f>(Z246/I246)^(1/11)-1</f>
        <v>0.20221831466847928</v>
      </c>
      <c r="Z246" s="1">
        <v>80</v>
      </c>
    </row>
    <row r="247" spans="3:26" outlineLevel="4" x14ac:dyDescent="0.2">
      <c r="C247" s="108" t="s">
        <v>169</v>
      </c>
      <c r="E247" s="1"/>
      <c r="F247" s="1"/>
      <c r="G247" s="1"/>
      <c r="H247" s="1"/>
      <c r="I247" s="52">
        <f>IFERROR(I246/H246-1,"")</f>
        <v>0.43241682649277591</v>
      </c>
      <c r="J247" s="68">
        <v>0.2</v>
      </c>
      <c r="K247" s="69">
        <f t="shared" ref="K247:Q247" si="389">J247*0.9</f>
        <v>0.18000000000000002</v>
      </c>
      <c r="L247" s="69">
        <f t="shared" si="389"/>
        <v>0.16200000000000003</v>
      </c>
      <c r="M247" s="69">
        <f t="shared" si="389"/>
        <v>0.14580000000000004</v>
      </c>
      <c r="N247" s="69">
        <f t="shared" si="389"/>
        <v>0.13122000000000003</v>
      </c>
      <c r="O247" s="69">
        <f t="shared" si="389"/>
        <v>0.11809800000000004</v>
      </c>
      <c r="P247" s="69">
        <f t="shared" si="389"/>
        <v>0.10628820000000004</v>
      </c>
      <c r="Q247" s="69">
        <f t="shared" si="389"/>
        <v>9.5659380000000044E-2</v>
      </c>
      <c r="R247" s="69">
        <f t="shared" ref="R247:T247" si="390">Q247*0.9</f>
        <v>8.6093442000000048E-2</v>
      </c>
      <c r="S247" s="69">
        <f t="shared" si="390"/>
        <v>7.748409780000004E-2</v>
      </c>
      <c r="T247" s="69">
        <f t="shared" si="390"/>
        <v>6.9735688020000033E-2</v>
      </c>
    </row>
    <row r="248" spans="3:26" outlineLevel="4" x14ac:dyDescent="0.2">
      <c r="C248" s="108"/>
    </row>
    <row r="249" spans="3:26" ht="13.5" outlineLevel="4" thickBot="1" x14ac:dyDescent="0.25">
      <c r="C249" s="122" t="s">
        <v>180</v>
      </c>
      <c r="D249" s="54" t="s">
        <v>406</v>
      </c>
      <c r="E249" s="90"/>
      <c r="F249" s="90"/>
      <c r="G249" s="90"/>
      <c r="H249" s="250">
        <v>105.93306288032454</v>
      </c>
      <c r="I249" s="250">
        <v>208.9</v>
      </c>
      <c r="J249" s="25">
        <f t="shared" ref="J249:T249" si="391">AVERAGE(I241,J241)*J246*12</f>
        <v>326.6436363636364</v>
      </c>
      <c r="K249" s="25">
        <f t="shared" si="391"/>
        <v>439.22174545454544</v>
      </c>
      <c r="L249" s="25">
        <f t="shared" si="391"/>
        <v>572.87064799999985</v>
      </c>
      <c r="M249" s="25">
        <f t="shared" si="391"/>
        <v>728.001936312407</v>
      </c>
      <c r="N249" s="25">
        <f t="shared" si="391"/>
        <v>904.5333356801068</v>
      </c>
      <c r="O249" s="25">
        <f t="shared" si="391"/>
        <v>1101.9261893982043</v>
      </c>
      <c r="P249" s="25">
        <f t="shared" si="391"/>
        <v>1319.2436617475846</v>
      </c>
      <c r="Q249" s="25">
        <f t="shared" si="391"/>
        <v>1555.2220742080949</v>
      </c>
      <c r="R249" s="25">
        <f t="shared" si="391"/>
        <v>1808.3482482852414</v>
      </c>
      <c r="S249" s="25">
        <f t="shared" si="391"/>
        <v>2076.9367982279982</v>
      </c>
      <c r="T249" s="25">
        <f t="shared" si="391"/>
        <v>2359.2026982178127</v>
      </c>
    </row>
    <row r="250" spans="3:26" ht="13.5" outlineLevel="4" thickTop="1" x14ac:dyDescent="0.2">
      <c r="C250" s="108" t="s">
        <v>169</v>
      </c>
      <c r="E250" s="1"/>
      <c r="F250" s="1"/>
      <c r="G250" s="1"/>
      <c r="H250" s="1"/>
      <c r="I250" s="52">
        <f>IFERROR(I249/H249-1,"")</f>
        <v>0.9720000000000002</v>
      </c>
      <c r="J250" s="52">
        <f>IFERROR(J249/I249-1,"")</f>
        <v>0.56363636363636371</v>
      </c>
      <c r="K250" s="52">
        <f t="shared" ref="K250:O250" si="392">IFERROR(K249/J249-1,"")</f>
        <v>0.34465116279069741</v>
      </c>
      <c r="L250" s="52">
        <f t="shared" si="392"/>
        <v>0.30428571428571405</v>
      </c>
      <c r="M250" s="52">
        <f t="shared" si="392"/>
        <v>0.2707963636363635</v>
      </c>
      <c r="N250" s="52">
        <f t="shared" si="392"/>
        <v>0.2424875409836067</v>
      </c>
      <c r="O250" s="52">
        <f t="shared" si="392"/>
        <v>0.2182261791044775</v>
      </c>
      <c r="P250" s="52">
        <f t="shared" ref="P250" si="393">IFERROR(P249/O249-1,"")</f>
        <v>0.19721599726027383</v>
      </c>
      <c r="Q250" s="52">
        <f t="shared" ref="Q250" si="394">IFERROR(Q249/P249-1,"")</f>
        <v>0.17887401645569612</v>
      </c>
      <c r="R250" s="52">
        <f t="shared" ref="R250" si="395">IFERROR(R249/Q249-1,"")</f>
        <v>0.16275886143529439</v>
      </c>
      <c r="S250" s="52">
        <f t="shared" ref="S250" si="396">IFERROR(S249/R249-1,"")</f>
        <v>0.14852700534725249</v>
      </c>
      <c r="T250" s="52">
        <f t="shared" ref="T250" si="397">IFERROR(T249/S249-1,"")</f>
        <v>0.13590490583567028</v>
      </c>
    </row>
    <row r="251" spans="3:26" s="58" customFormat="1" outlineLevel="4" x14ac:dyDescent="0.2">
      <c r="C251" s="493" t="s">
        <v>962</v>
      </c>
      <c r="D251" s="43"/>
      <c r="H251" s="492">
        <v>105.93306288032454</v>
      </c>
      <c r="I251" s="492">
        <v>208.9</v>
      </c>
      <c r="J251" s="99"/>
      <c r="K251" s="99"/>
      <c r="L251" s="99"/>
      <c r="M251" s="99"/>
      <c r="N251" s="99"/>
      <c r="O251" s="99"/>
      <c r="P251" s="99"/>
      <c r="Q251" s="99"/>
      <c r="R251" s="99"/>
      <c r="S251" s="99"/>
      <c r="T251" s="99"/>
    </row>
    <row r="252" spans="3:26" s="58" customFormat="1" outlineLevel="4" x14ac:dyDescent="0.2">
      <c r="C252" s="493"/>
      <c r="D252" s="43"/>
      <c r="H252" s="13"/>
      <c r="I252" s="13">
        <f>2*4*J$37</f>
        <v>334.66666666666663</v>
      </c>
      <c r="J252" s="99"/>
      <c r="K252" s="99"/>
      <c r="L252" s="99"/>
      <c r="M252" s="99"/>
      <c r="N252" s="99"/>
      <c r="O252" s="99"/>
      <c r="P252" s="99"/>
      <c r="Q252" s="99"/>
      <c r="R252" s="99"/>
      <c r="S252" s="99"/>
      <c r="T252" s="99"/>
    </row>
    <row r="253" spans="3:26" outlineLevel="4" x14ac:dyDescent="0.2">
      <c r="C253" s="108" t="s">
        <v>409</v>
      </c>
      <c r="D253" s="43" t="s">
        <v>144</v>
      </c>
      <c r="H253" s="234">
        <f t="shared" ref="H253:T253" si="398">H246/H$37</f>
        <v>0.20140900102139081</v>
      </c>
      <c r="I253" s="234">
        <f>I246/I$37</f>
        <v>0.26271177914604216</v>
      </c>
      <c r="J253" s="234">
        <f t="shared" si="398"/>
        <v>0.30264396957624057</v>
      </c>
      <c r="K253" s="234">
        <f t="shared" si="398"/>
        <v>0.3428350887359653</v>
      </c>
      <c r="L253" s="234">
        <f t="shared" si="398"/>
        <v>0.38243939818674388</v>
      </c>
      <c r="M253" s="234">
        <f t="shared" si="398"/>
        <v>0.42067109994467627</v>
      </c>
      <c r="N253" s="234">
        <f t="shared" si="398"/>
        <v>0.45683669921224002</v>
      </c>
      <c r="O253" s="234">
        <f t="shared" si="398"/>
        <v>0.4903566717271749</v>
      </c>
      <c r="P253" s="234">
        <f t="shared" si="398"/>
        <v>0.52077676773412529</v>
      </c>
      <c r="Q253" s="234">
        <f t="shared" si="398"/>
        <v>0.54777019243581671</v>
      </c>
      <c r="R253" s="234">
        <f t="shared" si="398"/>
        <v>0.57113242917851392</v>
      </c>
      <c r="S253" s="234">
        <f t="shared" si="398"/>
        <v>0.59077066577062409</v>
      </c>
      <c r="T253" s="234">
        <f t="shared" si="398"/>
        <v>0.6066897260257651</v>
      </c>
      <c r="Y253" s="52">
        <f>(Z253/I253)^(1/11)-1</f>
        <v>0.1065335483421086</v>
      </c>
      <c r="Z253" s="1">
        <v>0.8</v>
      </c>
    </row>
    <row r="254" spans="3:26" outlineLevel="4" x14ac:dyDescent="0.2">
      <c r="C254" s="108" t="s">
        <v>169</v>
      </c>
      <c r="I254" s="52">
        <f>IFERROR(I253/H253-1,"")</f>
        <v>0.30436960520021961</v>
      </c>
      <c r="J254" s="52">
        <f t="shared" ref="J254" si="399">IFERROR(J253/I253-1,"")</f>
        <v>0.15199999999999991</v>
      </c>
      <c r="K254" s="52">
        <f t="shared" ref="K254" si="400">IFERROR(K253/J253-1,"")</f>
        <v>0.13280000000000003</v>
      </c>
      <c r="L254" s="52">
        <f t="shared" ref="L254" si="401">IFERROR(L253/K253-1,"")</f>
        <v>0.11551999999999962</v>
      </c>
      <c r="M254" s="52">
        <f t="shared" ref="M254" si="402">IFERROR(M253/L253-1,"")</f>
        <v>9.9967999999999835E-2</v>
      </c>
      <c r="N254" s="52">
        <f t="shared" ref="N254" si="403">IFERROR(N253/M253-1,"")</f>
        <v>8.5971199999999914E-2</v>
      </c>
      <c r="O254" s="52">
        <f t="shared" ref="O254" si="404">IFERROR(O253/N253-1,"")</f>
        <v>7.3374080000000008E-2</v>
      </c>
      <c r="P254" s="52">
        <f t="shared" ref="P254" si="405">IFERROR(P253/O253-1,"")</f>
        <v>6.2036671999999848E-2</v>
      </c>
      <c r="Q254" s="52">
        <f t="shared" ref="Q254" si="406">IFERROR(Q253/P253-1,"")</f>
        <v>5.1833004799999971E-2</v>
      </c>
      <c r="R254" s="52">
        <f t="shared" ref="R254" si="407">IFERROR(R253/Q253-1,"")</f>
        <v>4.2649704320000259E-2</v>
      </c>
      <c r="S254" s="52">
        <f t="shared" ref="S254" si="408">IFERROR(S253/R253-1,"")</f>
        <v>3.4384733887999896E-2</v>
      </c>
      <c r="T254" s="52">
        <f t="shared" ref="T254" si="409">IFERROR(T253/S253-1,"")</f>
        <v>2.6946260499199903E-2</v>
      </c>
    </row>
    <row r="255" spans="3:26" outlineLevel="4" x14ac:dyDescent="0.2">
      <c r="C255" s="108"/>
      <c r="E255" s="1"/>
      <c r="F255" s="1"/>
      <c r="G255" s="1"/>
      <c r="H255" s="1"/>
      <c r="I255" s="52"/>
      <c r="J255" s="52"/>
      <c r="K255" s="52"/>
      <c r="L255" s="52"/>
      <c r="M255" s="52"/>
      <c r="N255" s="52"/>
      <c r="O255" s="52"/>
      <c r="P255" s="52"/>
      <c r="Q255" s="52"/>
      <c r="R255" s="52"/>
      <c r="S255" s="52"/>
      <c r="T255" s="52"/>
    </row>
    <row r="256" spans="3:26" ht="13.5" outlineLevel="4" thickBot="1" x14ac:dyDescent="0.25">
      <c r="C256" s="122" t="s">
        <v>180</v>
      </c>
      <c r="D256" s="54" t="s">
        <v>295</v>
      </c>
      <c r="E256" s="90"/>
      <c r="F256" s="90"/>
      <c r="G256" s="90"/>
      <c r="H256" s="278">
        <f>H249/H$37</f>
        <v>2.8967203412722049</v>
      </c>
      <c r="I256" s="278">
        <f t="shared" ref="I256:T256" si="410">I249/I$37</f>
        <v>5.2016932270916341</v>
      </c>
      <c r="J256" s="278">
        <f t="shared" si="410"/>
        <v>7.808214415067007</v>
      </c>
      <c r="K256" s="278">
        <f t="shared" si="410"/>
        <v>10.079351608837378</v>
      </c>
      <c r="L256" s="278">
        <f t="shared" si="410"/>
        <v>12.620500140162546</v>
      </c>
      <c r="M256" s="278">
        <f t="shared" si="410"/>
        <v>15.396562257975148</v>
      </c>
      <c r="N256" s="278">
        <f t="shared" si="410"/>
        <v>18.364835308332047</v>
      </c>
      <c r="O256" s="278">
        <f t="shared" si="410"/>
        <v>21.477622221650254</v>
      </c>
      <c r="P256" s="278">
        <f t="shared" si="410"/>
        <v>24.684818790597532</v>
      </c>
      <c r="Q256" s="278">
        <f t="shared" si="410"/>
        <v>27.936279814226644</v>
      </c>
      <c r="R256" s="278">
        <f t="shared" si="410"/>
        <v>31.183830633146851</v>
      </c>
      <c r="S256" s="278">
        <f t="shared" si="410"/>
        <v>34.382852747850308</v>
      </c>
      <c r="T256" s="278">
        <f t="shared" si="410"/>
        <v>37.49342506839227</v>
      </c>
    </row>
    <row r="257" spans="3:22" ht="13.5" outlineLevel="4" thickTop="1" x14ac:dyDescent="0.2">
      <c r="C257" s="108" t="s">
        <v>169</v>
      </c>
      <c r="E257" s="1"/>
      <c r="F257" s="1"/>
      <c r="G257" s="1"/>
      <c r="H257" s="1"/>
      <c r="I257" s="52">
        <f>IFERROR(I256/H256-1,"")</f>
        <v>0.79571812749004023</v>
      </c>
      <c r="J257" s="52">
        <f>IFERROR(J256/I256-1,"")</f>
        <v>0.50109090909090925</v>
      </c>
      <c r="K257" s="52">
        <f t="shared" ref="K257" si="411">IFERROR(K256/J256-1,"")</f>
        <v>0.29086511627906941</v>
      </c>
      <c r="L257" s="52">
        <f t="shared" ref="L257" si="412">IFERROR(L256/K256-1,"")</f>
        <v>0.25211428571428529</v>
      </c>
      <c r="M257" s="52">
        <f t="shared" ref="M257" si="413">IFERROR(M256/L256-1,"")</f>
        <v>0.21996450909090903</v>
      </c>
      <c r="N257" s="52">
        <f t="shared" ref="N257" si="414">IFERROR(N256/M256-1,"")</f>
        <v>0.19278803934426247</v>
      </c>
      <c r="O257" s="52">
        <f t="shared" ref="O257" si="415">IFERROR(O256/N256-1,"")</f>
        <v>0.16949713194029825</v>
      </c>
      <c r="P257" s="52">
        <f t="shared" ref="P257" si="416">IFERROR(P256/O256-1,"")</f>
        <v>0.14932735736986302</v>
      </c>
      <c r="Q257" s="52">
        <f t="shared" ref="Q257" si="417">IFERROR(Q256/P256-1,"")</f>
        <v>0.13171905579746834</v>
      </c>
      <c r="R257" s="52">
        <f t="shared" ref="R257" si="418">IFERROR(R256/Q256-1,"")</f>
        <v>0.11624850697788269</v>
      </c>
      <c r="S257" s="52">
        <f t="shared" ref="S257" si="419">IFERROR(S256/R256-1,"")</f>
        <v>0.10258592513336251</v>
      </c>
      <c r="T257" s="52">
        <f t="shared" ref="T257" si="420">IFERROR(T256/S256-1,"")</f>
        <v>9.046870960224318E-2</v>
      </c>
    </row>
    <row r="258" spans="3:22" outlineLevel="4" x14ac:dyDescent="0.2">
      <c r="C258" s="107"/>
      <c r="E258" s="1"/>
      <c r="F258" s="1"/>
      <c r="G258" s="1"/>
      <c r="H258" s="1"/>
      <c r="I258" s="234">
        <f>I256/4</f>
        <v>1.3004233067729085</v>
      </c>
      <c r="J258" s="234">
        <f>J256/4</f>
        <v>1.9520536037667517</v>
      </c>
      <c r="K258" s="234">
        <f t="shared" ref="K258:T258" si="421">K256/4</f>
        <v>2.5198379022093444</v>
      </c>
      <c r="L258" s="234">
        <f t="shared" si="421"/>
        <v>3.1551250350406366</v>
      </c>
      <c r="M258" s="234">
        <f t="shared" si="421"/>
        <v>3.8491405644937871</v>
      </c>
      <c r="N258" s="234">
        <f t="shared" si="421"/>
        <v>4.5912088270830118</v>
      </c>
      <c r="O258" s="234">
        <f t="shared" si="421"/>
        <v>5.3694055554125635</v>
      </c>
      <c r="P258" s="234">
        <f t="shared" si="421"/>
        <v>6.1712046976493831</v>
      </c>
      <c r="Q258" s="234">
        <f t="shared" si="421"/>
        <v>6.984069953556661</v>
      </c>
      <c r="R258" s="234">
        <f t="shared" si="421"/>
        <v>7.7959576582867127</v>
      </c>
      <c r="S258" s="234">
        <f t="shared" si="421"/>
        <v>8.5957131869625769</v>
      </c>
      <c r="T258" s="234">
        <f t="shared" si="421"/>
        <v>9.3733562670980675</v>
      </c>
    </row>
    <row r="259" spans="3:22" outlineLevel="4" x14ac:dyDescent="0.2">
      <c r="C259" s="37" t="s">
        <v>1078</v>
      </c>
      <c r="E259" s="1"/>
      <c r="F259" s="1"/>
      <c r="G259" s="1"/>
      <c r="H259" s="1"/>
      <c r="I259" s="234"/>
      <c r="J259" s="234"/>
      <c r="K259" s="234"/>
      <c r="L259" s="234"/>
      <c r="M259" s="234"/>
      <c r="N259" s="234"/>
      <c r="O259" s="234"/>
      <c r="P259" s="234"/>
      <c r="Q259" s="234"/>
      <c r="R259" s="234"/>
      <c r="S259" s="234"/>
      <c r="T259" s="234"/>
    </row>
    <row r="260" spans="3:22" outlineLevel="4" x14ac:dyDescent="0.2">
      <c r="C260" s="2"/>
      <c r="E260" s="1"/>
      <c r="F260" s="1"/>
      <c r="G260" s="1"/>
      <c r="H260" s="1"/>
      <c r="I260" s="234"/>
      <c r="J260" s="234"/>
      <c r="K260" s="234"/>
      <c r="L260" s="234"/>
      <c r="M260" s="234"/>
      <c r="N260" s="234"/>
      <c r="O260" s="234"/>
      <c r="P260" s="234"/>
      <c r="Q260" s="234"/>
      <c r="R260" s="234"/>
      <c r="S260" s="234"/>
      <c r="T260" s="234"/>
    </row>
    <row r="261" spans="3:22" outlineLevel="4" x14ac:dyDescent="0.2">
      <c r="C261" s="2" t="s">
        <v>1080</v>
      </c>
      <c r="E261" s="1"/>
      <c r="F261" s="1"/>
      <c r="G261" s="1"/>
      <c r="H261" s="104">
        <v>3.75</v>
      </c>
      <c r="I261" s="104">
        <v>3.75</v>
      </c>
      <c r="J261" s="104">
        <v>3.75</v>
      </c>
      <c r="K261" s="104">
        <v>3.75</v>
      </c>
      <c r="L261" s="104">
        <v>3.75</v>
      </c>
      <c r="M261" s="104">
        <v>3.75</v>
      </c>
      <c r="N261" s="104">
        <v>3.75</v>
      </c>
      <c r="O261" s="104">
        <v>3.75</v>
      </c>
      <c r="P261" s="104">
        <v>3.75</v>
      </c>
      <c r="Q261" s="104">
        <v>3.75</v>
      </c>
      <c r="R261" s="104">
        <v>3.75</v>
      </c>
      <c r="S261" s="104">
        <v>3.75</v>
      </c>
      <c r="T261" s="104">
        <v>3.75</v>
      </c>
      <c r="V261" s="1" t="s">
        <v>1079</v>
      </c>
    </row>
    <row r="262" spans="3:22" outlineLevel="4" x14ac:dyDescent="0.2">
      <c r="C262" s="2"/>
      <c r="E262" s="1"/>
      <c r="F262" s="1"/>
      <c r="G262" s="1"/>
      <c r="H262" s="1"/>
      <c r="I262" s="234"/>
      <c r="J262" s="234"/>
      <c r="K262" s="234"/>
      <c r="L262" s="234"/>
      <c r="M262" s="234"/>
      <c r="N262" s="234"/>
      <c r="O262" s="234"/>
      <c r="P262" s="234"/>
      <c r="Q262" s="234"/>
      <c r="R262" s="234"/>
      <c r="S262" s="234"/>
      <c r="T262" s="234"/>
    </row>
    <row r="263" spans="3:22" outlineLevel="4" x14ac:dyDescent="0.2">
      <c r="C263" s="108" t="s">
        <v>137</v>
      </c>
      <c r="D263" s="43" t="s">
        <v>395</v>
      </c>
      <c r="E263" s="1"/>
      <c r="F263" s="1"/>
      <c r="G263" s="1"/>
      <c r="H263" s="21">
        <f>H246*H261</f>
        <v>27.620726877570981</v>
      </c>
      <c r="I263" s="21">
        <f t="shared" ref="I263:T263" si="422">I246*I261</f>
        <v>39.564393939393945</v>
      </c>
      <c r="J263" s="21">
        <f t="shared" si="422"/>
        <v>47.477272727272734</v>
      </c>
      <c r="K263" s="21">
        <f t="shared" si="422"/>
        <v>56.023181818181826</v>
      </c>
      <c r="L263" s="21">
        <f t="shared" si="422"/>
        <v>65.098937272727269</v>
      </c>
      <c r="M263" s="21">
        <f t="shared" si="422"/>
        <v>74.590362327090901</v>
      </c>
      <c r="N263" s="21">
        <f t="shared" si="422"/>
        <v>84.378109671651771</v>
      </c>
      <c r="O263" s="21">
        <f t="shared" si="422"/>
        <v>94.342995667654492</v>
      </c>
      <c r="P263" s="21">
        <f t="shared" si="422"/>
        <v>104.37054285977729</v>
      </c>
      <c r="Q263" s="21">
        <f t="shared" si="422"/>
        <v>114.35456428000703</v>
      </c>
      <c r="R263" s="21">
        <f t="shared" si="422"/>
        <v>124.19974232728309</v>
      </c>
      <c r="S263" s="21">
        <f t="shared" si="422"/>
        <v>133.8232473085051</v>
      </c>
      <c r="T263" s="21">
        <f t="shared" si="422"/>
        <v>143.1555035326343</v>
      </c>
    </row>
    <row r="264" spans="3:22" s="58" customFormat="1" outlineLevel="4" x14ac:dyDescent="0.2">
      <c r="C264" s="493" t="s">
        <v>169</v>
      </c>
      <c r="D264" s="43"/>
      <c r="I264" s="99">
        <f>IFERROR(I263/H263-1,"")</f>
        <v>0.43241682649277591</v>
      </c>
      <c r="J264" s="99">
        <f t="shared" ref="J264:T264" si="423">IFERROR(J263/I263-1,"")</f>
        <v>0.19999999999999996</v>
      </c>
      <c r="K264" s="99">
        <f t="shared" si="423"/>
        <v>0.17999999999999994</v>
      </c>
      <c r="L264" s="99">
        <f t="shared" si="423"/>
        <v>0.1619999999999997</v>
      </c>
      <c r="M264" s="99">
        <f t="shared" si="423"/>
        <v>0.14579999999999993</v>
      </c>
      <c r="N264" s="99">
        <f t="shared" si="423"/>
        <v>0.13122000000000011</v>
      </c>
      <c r="O264" s="99">
        <f t="shared" si="423"/>
        <v>0.11809799999999981</v>
      </c>
      <c r="P264" s="99">
        <f t="shared" si="423"/>
        <v>0.10628820000000005</v>
      </c>
      <c r="Q264" s="99">
        <f t="shared" si="423"/>
        <v>9.5659380000000072E-2</v>
      </c>
      <c r="R264" s="99">
        <f t="shared" si="423"/>
        <v>8.6093442000000131E-2</v>
      </c>
      <c r="S264" s="99">
        <f t="shared" si="423"/>
        <v>7.7484097799999985E-2</v>
      </c>
      <c r="T264" s="99">
        <f t="shared" si="423"/>
        <v>6.9735688019999742E-2</v>
      </c>
    </row>
    <row r="265" spans="3:22" outlineLevel="4" x14ac:dyDescent="0.2">
      <c r="C265" s="108"/>
      <c r="E265" s="1"/>
      <c r="F265" s="1"/>
      <c r="G265" s="1"/>
      <c r="H265" s="1"/>
      <c r="I265" s="234"/>
      <c r="J265" s="234"/>
      <c r="K265" s="234"/>
      <c r="L265" s="234"/>
      <c r="M265" s="234"/>
      <c r="N265" s="234"/>
      <c r="O265" s="234"/>
      <c r="P265" s="234"/>
      <c r="Q265" s="234"/>
      <c r="R265" s="234"/>
      <c r="S265" s="234"/>
      <c r="T265" s="234"/>
    </row>
    <row r="266" spans="3:22" s="2" customFormat="1" ht="13.5" outlineLevel="4" thickBot="1" x14ac:dyDescent="0.25">
      <c r="C266" s="122" t="s">
        <v>180</v>
      </c>
      <c r="D266" s="87" t="s">
        <v>406</v>
      </c>
      <c r="E266" s="5"/>
      <c r="F266" s="5"/>
      <c r="G266" s="5"/>
      <c r="H266" s="25">
        <f>H249*H261</f>
        <v>397.24898580121703</v>
      </c>
      <c r="I266" s="25">
        <f t="shared" ref="I266:T266" si="424">I249*I261</f>
        <v>783.375</v>
      </c>
      <c r="J266" s="25">
        <f t="shared" si="424"/>
        <v>1224.9136363636364</v>
      </c>
      <c r="K266" s="25">
        <f t="shared" si="424"/>
        <v>1647.0815454545454</v>
      </c>
      <c r="L266" s="25">
        <f t="shared" si="424"/>
        <v>2148.2649299999994</v>
      </c>
      <c r="M266" s="25">
        <f t="shared" si="424"/>
        <v>2730.0072611715264</v>
      </c>
      <c r="N266" s="25">
        <f t="shared" si="424"/>
        <v>3392.0000088004003</v>
      </c>
      <c r="O266" s="25">
        <f t="shared" si="424"/>
        <v>4132.2232102432663</v>
      </c>
      <c r="P266" s="25">
        <f t="shared" si="424"/>
        <v>4947.1637315534426</v>
      </c>
      <c r="Q266" s="25">
        <f t="shared" si="424"/>
        <v>5832.0827782803563</v>
      </c>
      <c r="R266" s="25">
        <f t="shared" si="424"/>
        <v>6781.3059310696553</v>
      </c>
      <c r="S266" s="25">
        <f t="shared" si="424"/>
        <v>7788.5129933549933</v>
      </c>
      <c r="T266" s="25">
        <f t="shared" si="424"/>
        <v>8847.0101183167972</v>
      </c>
    </row>
    <row r="267" spans="3:22" ht="13.5" outlineLevel="4" thickTop="1" x14ac:dyDescent="0.2">
      <c r="C267" s="108" t="s">
        <v>169</v>
      </c>
      <c r="E267" s="1"/>
      <c r="F267" s="1"/>
      <c r="G267" s="1"/>
      <c r="H267" s="1"/>
      <c r="I267" s="99">
        <f>IFERROR(I266/H266-1,"")</f>
        <v>0.97199999999999998</v>
      </c>
      <c r="J267" s="99">
        <f t="shared" ref="J267:T267" si="425">IFERROR(J266/I266-1,"")</f>
        <v>0.56363636363636371</v>
      </c>
      <c r="K267" s="99">
        <f t="shared" si="425"/>
        <v>0.34465116279069763</v>
      </c>
      <c r="L267" s="99">
        <f t="shared" si="425"/>
        <v>0.30428571428571383</v>
      </c>
      <c r="M267" s="99">
        <f t="shared" si="425"/>
        <v>0.2707963636363635</v>
      </c>
      <c r="N267" s="99">
        <f t="shared" si="425"/>
        <v>0.24248754098360648</v>
      </c>
      <c r="O267" s="99">
        <f t="shared" si="425"/>
        <v>0.21822617910447772</v>
      </c>
      <c r="P267" s="99">
        <f t="shared" si="425"/>
        <v>0.19721599726027383</v>
      </c>
      <c r="Q267" s="99">
        <f t="shared" si="425"/>
        <v>0.17887401645569612</v>
      </c>
      <c r="R267" s="99">
        <f t="shared" si="425"/>
        <v>0.16275886143529439</v>
      </c>
      <c r="S267" s="99">
        <f t="shared" si="425"/>
        <v>0.14852700534725249</v>
      </c>
      <c r="T267" s="99">
        <f t="shared" si="425"/>
        <v>0.13590490583567005</v>
      </c>
    </row>
    <row r="268" spans="3:22" outlineLevel="4" x14ac:dyDescent="0.2">
      <c r="C268" s="493" t="s">
        <v>962</v>
      </c>
      <c r="E268" s="1"/>
      <c r="F268" s="1"/>
      <c r="G268" s="1"/>
      <c r="H268" s="1"/>
      <c r="I268" s="234"/>
      <c r="J268" s="234"/>
      <c r="K268" s="234"/>
      <c r="L268" s="234"/>
      <c r="M268" s="234"/>
      <c r="N268" s="234"/>
      <c r="O268" s="234"/>
      <c r="P268" s="234"/>
      <c r="Q268" s="234"/>
      <c r="R268" s="234"/>
      <c r="S268" s="234"/>
      <c r="T268" s="234"/>
    </row>
    <row r="269" spans="3:22" outlineLevel="4" x14ac:dyDescent="0.2">
      <c r="C269" s="493"/>
      <c r="E269" s="1"/>
      <c r="F269" s="1"/>
      <c r="G269" s="1"/>
      <c r="H269" s="1"/>
      <c r="I269" s="234"/>
      <c r="J269" s="234"/>
      <c r="K269" s="234"/>
      <c r="L269" s="234"/>
      <c r="M269" s="234"/>
      <c r="N269" s="234"/>
      <c r="O269" s="234"/>
      <c r="P269" s="234"/>
      <c r="Q269" s="234"/>
      <c r="R269" s="234"/>
      <c r="S269" s="234"/>
      <c r="T269" s="234"/>
    </row>
    <row r="270" spans="3:22" outlineLevel="4" x14ac:dyDescent="0.2">
      <c r="C270" s="108" t="s">
        <v>409</v>
      </c>
      <c r="D270" s="43" t="s">
        <v>144</v>
      </c>
      <c r="E270" s="1"/>
      <c r="F270" s="1"/>
      <c r="G270" s="1"/>
      <c r="H270" s="21">
        <f>H263/H$37</f>
        <v>0.75528375383021551</v>
      </c>
      <c r="I270" s="21">
        <f t="shared" ref="I270:T270" si="426">I263/I$37</f>
        <v>0.98516917179765806</v>
      </c>
      <c r="J270" s="21">
        <f t="shared" si="426"/>
        <v>1.1349148859109022</v>
      </c>
      <c r="K270" s="21">
        <f t="shared" si="426"/>
        <v>1.2856315827598699</v>
      </c>
      <c r="L270" s="21">
        <f t="shared" si="426"/>
        <v>1.4341477432002896</v>
      </c>
      <c r="M270" s="21">
        <f t="shared" si="426"/>
        <v>1.5775166247925361</v>
      </c>
      <c r="N270" s="21">
        <f t="shared" si="426"/>
        <v>1.7131376220459003</v>
      </c>
      <c r="O270" s="21">
        <f t="shared" si="426"/>
        <v>1.8388375189769057</v>
      </c>
      <c r="P270" s="21">
        <f t="shared" si="426"/>
        <v>1.9529128790029697</v>
      </c>
      <c r="Q270" s="21">
        <f t="shared" si="426"/>
        <v>2.0541382216343127</v>
      </c>
      <c r="R270" s="21">
        <f t="shared" si="426"/>
        <v>2.1417466094194268</v>
      </c>
      <c r="S270" s="21">
        <f t="shared" si="426"/>
        <v>2.2153899966398405</v>
      </c>
      <c r="T270" s="21">
        <f t="shared" si="426"/>
        <v>2.2750864725966191</v>
      </c>
    </row>
    <row r="271" spans="3:22" outlineLevel="4" x14ac:dyDescent="0.2">
      <c r="C271" s="108" t="s">
        <v>169</v>
      </c>
      <c r="E271" s="1"/>
      <c r="F271" s="1"/>
      <c r="G271" s="1"/>
      <c r="H271" s="1"/>
      <c r="I271" s="99">
        <f>IFERROR(I270/H270-1,"")</f>
        <v>0.30436960520021961</v>
      </c>
      <c r="J271" s="99">
        <f t="shared" ref="J271" si="427">IFERROR(J270/I270-1,"")</f>
        <v>0.15200000000000014</v>
      </c>
      <c r="K271" s="99">
        <f t="shared" ref="K271" si="428">IFERROR(K270/J270-1,"")</f>
        <v>0.13279999999999981</v>
      </c>
      <c r="L271" s="99">
        <f t="shared" ref="L271" si="429">IFERROR(L270/K270-1,"")</f>
        <v>0.11551999999999962</v>
      </c>
      <c r="M271" s="99">
        <f t="shared" ref="M271" si="430">IFERROR(M270/L270-1,"")</f>
        <v>9.9968000000000057E-2</v>
      </c>
      <c r="N271" s="99">
        <f t="shared" ref="N271" si="431">IFERROR(N270/M270-1,"")</f>
        <v>8.5971200000000136E-2</v>
      </c>
      <c r="O271" s="99">
        <f t="shared" ref="O271" si="432">IFERROR(O270/N270-1,"")</f>
        <v>7.3374079999999786E-2</v>
      </c>
      <c r="P271" s="99">
        <f t="shared" ref="P271" si="433">IFERROR(P270/O270-1,"")</f>
        <v>6.2036671999999848E-2</v>
      </c>
      <c r="Q271" s="99">
        <f t="shared" ref="Q271" si="434">IFERROR(Q270/P270-1,"")</f>
        <v>5.1833004800000193E-2</v>
      </c>
      <c r="R271" s="99">
        <f t="shared" ref="R271" si="435">IFERROR(R270/Q270-1,"")</f>
        <v>4.2649704320000037E-2</v>
      </c>
      <c r="S271" s="99">
        <f t="shared" ref="S271" si="436">IFERROR(S270/R270-1,"")</f>
        <v>3.4384733888000119E-2</v>
      </c>
      <c r="T271" s="99">
        <f t="shared" ref="T271" si="437">IFERROR(T270/S270-1,"")</f>
        <v>2.6946260499199903E-2</v>
      </c>
    </row>
    <row r="272" spans="3:22" outlineLevel="4" x14ac:dyDescent="0.2">
      <c r="C272" s="108"/>
      <c r="E272" s="1"/>
      <c r="F272" s="1"/>
      <c r="G272" s="1"/>
      <c r="H272" s="1"/>
      <c r="I272" s="234"/>
      <c r="J272" s="234"/>
      <c r="K272" s="234"/>
      <c r="L272" s="234"/>
      <c r="M272" s="234"/>
      <c r="N272" s="234"/>
      <c r="O272" s="234"/>
      <c r="P272" s="234"/>
      <c r="Q272" s="234"/>
      <c r="R272" s="234"/>
      <c r="S272" s="234"/>
      <c r="T272" s="234"/>
    </row>
    <row r="273" spans="3:22" ht="13.5" outlineLevel="4" thickBot="1" x14ac:dyDescent="0.25">
      <c r="C273" s="122" t="s">
        <v>180</v>
      </c>
      <c r="D273" s="54" t="s">
        <v>295</v>
      </c>
      <c r="E273" s="55"/>
      <c r="F273" s="55"/>
      <c r="G273" s="55"/>
      <c r="H273" s="484">
        <f>H266/H$37</f>
        <v>10.86270127977077</v>
      </c>
      <c r="I273" s="484">
        <f t="shared" ref="I273:T273" si="438">I266/I$37</f>
        <v>19.506349601593627</v>
      </c>
      <c r="J273" s="484">
        <f t="shared" si="438"/>
        <v>29.280804056501275</v>
      </c>
      <c r="K273" s="484">
        <f t="shared" si="438"/>
        <v>37.797568533140172</v>
      </c>
      <c r="L273" s="484">
        <f t="shared" si="438"/>
        <v>47.326875525609545</v>
      </c>
      <c r="M273" s="484">
        <f t="shared" si="438"/>
        <v>57.737108467406813</v>
      </c>
      <c r="N273" s="484">
        <f t="shared" si="438"/>
        <v>68.868132406245167</v>
      </c>
      <c r="O273" s="484">
        <f t="shared" si="438"/>
        <v>80.54108333118846</v>
      </c>
      <c r="P273" s="484">
        <f t="shared" si="438"/>
        <v>92.568070464740757</v>
      </c>
      <c r="Q273" s="484">
        <f t="shared" si="438"/>
        <v>104.76104930334992</v>
      </c>
      <c r="R273" s="484">
        <f t="shared" si="438"/>
        <v>116.93936487430069</v>
      </c>
      <c r="S273" s="484">
        <f t="shared" si="438"/>
        <v>128.93569780443866</v>
      </c>
      <c r="T273" s="484">
        <f t="shared" si="438"/>
        <v>140.60034400647103</v>
      </c>
    </row>
    <row r="274" spans="3:22" ht="13.5" outlineLevel="4" thickTop="1" x14ac:dyDescent="0.2">
      <c r="C274" s="108" t="s">
        <v>169</v>
      </c>
      <c r="E274" s="1"/>
      <c r="F274" s="1"/>
      <c r="G274" s="1"/>
      <c r="H274" s="1"/>
      <c r="I274" s="99">
        <f>IFERROR(I273/H273-1,"")</f>
        <v>0.79571812749004001</v>
      </c>
      <c r="J274" s="99">
        <f t="shared" ref="J274" si="439">IFERROR(J273/I273-1,"")</f>
        <v>0.50109090909090925</v>
      </c>
      <c r="K274" s="99">
        <f t="shared" ref="K274" si="440">IFERROR(K273/J273-1,"")</f>
        <v>0.29086511627906964</v>
      </c>
      <c r="L274" s="99">
        <f t="shared" ref="L274" si="441">IFERROR(L273/K273-1,"")</f>
        <v>0.25211428571428507</v>
      </c>
      <c r="M274" s="99">
        <f t="shared" ref="M274" si="442">IFERROR(M273/L273-1,"")</f>
        <v>0.21996450909090925</v>
      </c>
      <c r="N274" s="99">
        <f t="shared" ref="N274" si="443">IFERROR(N273/M273-1,"")</f>
        <v>0.19278803934426203</v>
      </c>
      <c r="O274" s="99">
        <f t="shared" ref="O274" si="444">IFERROR(O273/N273-1,"")</f>
        <v>0.1694971319402987</v>
      </c>
      <c r="P274" s="99">
        <f t="shared" ref="P274" si="445">IFERROR(P273/O273-1,"")</f>
        <v>0.14932735736986302</v>
      </c>
      <c r="Q274" s="99">
        <f t="shared" ref="Q274" si="446">IFERROR(Q273/P273-1,"")</f>
        <v>0.13171905579746834</v>
      </c>
      <c r="R274" s="99">
        <f t="shared" ref="R274" si="447">IFERROR(R273/Q273-1,"")</f>
        <v>0.11624850697788247</v>
      </c>
      <c r="S274" s="99">
        <f t="shared" ref="S274" si="448">IFERROR(S273/R273-1,"")</f>
        <v>0.10258592513336251</v>
      </c>
      <c r="T274" s="99">
        <f t="shared" ref="T274" si="449">IFERROR(T273/S273-1,"")</f>
        <v>9.0468709602243402E-2</v>
      </c>
    </row>
    <row r="275" spans="3:22" outlineLevel="4" x14ac:dyDescent="0.2">
      <c r="C275" s="2"/>
      <c r="E275" s="1"/>
      <c r="F275" s="1"/>
      <c r="G275" s="1"/>
      <c r="H275" s="1"/>
      <c r="I275" s="234"/>
      <c r="J275" s="234"/>
      <c r="K275" s="234"/>
      <c r="L275" s="234"/>
      <c r="M275" s="234"/>
      <c r="N275" s="234"/>
      <c r="O275" s="234"/>
      <c r="P275" s="234"/>
      <c r="Q275" s="234"/>
      <c r="R275" s="234"/>
      <c r="S275" s="234"/>
      <c r="T275" s="234"/>
    </row>
    <row r="276" spans="3:22" outlineLevel="4" x14ac:dyDescent="0.2">
      <c r="C276" s="121" t="s">
        <v>181</v>
      </c>
      <c r="E276" s="1"/>
      <c r="F276" s="1"/>
      <c r="G276" s="1"/>
      <c r="H276" s="1"/>
      <c r="I276" s="1"/>
      <c r="J276" s="1"/>
      <c r="K276" s="1"/>
      <c r="L276" s="1"/>
      <c r="M276" s="1"/>
      <c r="N276" s="1"/>
      <c r="O276" s="1"/>
      <c r="P276" s="1"/>
      <c r="Q276" s="1"/>
      <c r="R276" s="1"/>
      <c r="S276" s="1"/>
      <c r="T276" s="1"/>
    </row>
    <row r="277" spans="3:22" outlineLevel="4" x14ac:dyDescent="0.2">
      <c r="C277" s="107"/>
      <c r="E277" s="1"/>
      <c r="F277" s="1"/>
      <c r="G277" s="1"/>
      <c r="H277" s="1"/>
      <c r="I277" s="1"/>
      <c r="J277" s="1"/>
      <c r="K277" s="1"/>
      <c r="L277" s="1"/>
      <c r="M277" s="1"/>
      <c r="N277" s="1"/>
      <c r="O277" s="1"/>
      <c r="P277" s="1"/>
      <c r="Q277" s="1"/>
      <c r="R277" s="1"/>
      <c r="S277" s="1"/>
      <c r="T277" s="1"/>
    </row>
    <row r="278" spans="3:22" s="2" customFormat="1" outlineLevel="4" x14ac:dyDescent="0.2">
      <c r="C278" s="112" t="s">
        <v>182</v>
      </c>
      <c r="D278" s="43" t="s">
        <v>406</v>
      </c>
      <c r="E278" s="89"/>
      <c r="F278" s="89"/>
      <c r="G278" s="89"/>
      <c r="H278" s="226">
        <f>H165-H227-H249</f>
        <v>157.52827732586104</v>
      </c>
      <c r="I278" s="226">
        <f>I165-I227-I249</f>
        <v>465.4</v>
      </c>
      <c r="J278" s="17">
        <f t="shared" ref="J278:K278" si="450">I278*(1+J279)</f>
        <v>930.8</v>
      </c>
      <c r="K278" s="17">
        <f t="shared" si="450"/>
        <v>1582.36</v>
      </c>
      <c r="L278" s="17">
        <f t="shared" ref="L278" si="451">K278*(1+L279)</f>
        <v>2357.7163999999998</v>
      </c>
      <c r="M278" s="17">
        <f t="shared" ref="M278" si="452">L278*(1+M279)</f>
        <v>3166.4131251999997</v>
      </c>
      <c r="N278" s="17">
        <f t="shared" ref="N278" si="453">M278*(1+N279)</f>
        <v>3926.6689165605194</v>
      </c>
      <c r="O278" s="17">
        <f t="shared" ref="O278" si="454">N278*(1+O279)</f>
        <v>4586.6241613668453</v>
      </c>
      <c r="P278" s="17">
        <f t="shared" ref="P278" si="455">O278*(1+P279)</f>
        <v>5126.2359073274929</v>
      </c>
      <c r="Q278" s="17">
        <f t="shared" ref="Q278" si="456">P278*(1+Q279)</f>
        <v>5548.4034771103134</v>
      </c>
      <c r="R278" s="17">
        <f t="shared" ref="R278" si="457">Q278*(1+R279)</f>
        <v>5959.6448731378005</v>
      </c>
      <c r="S278" s="17">
        <f t="shared" ref="S278" si="458">R278*(1+S279)</f>
        <v>6357.1948023762407</v>
      </c>
      <c r="T278" s="17">
        <f t="shared" ref="T278" si="459">S278*(1+T279)</f>
        <v>6738.8571594250607</v>
      </c>
      <c r="U278" s="256"/>
    </row>
    <row r="279" spans="3:22" outlineLevel="4" x14ac:dyDescent="0.2">
      <c r="C279" s="107" t="s">
        <v>169</v>
      </c>
      <c r="E279" s="1"/>
      <c r="F279" s="1"/>
      <c r="G279" s="1"/>
      <c r="H279" s="1"/>
      <c r="I279" s="52">
        <f>IFERROR(I278/H278-1,"")</f>
        <v>1.9543902079071129</v>
      </c>
      <c r="J279" s="69">
        <v>1</v>
      </c>
      <c r="K279" s="69">
        <f>J279*0.7</f>
        <v>0.7</v>
      </c>
      <c r="L279" s="69">
        <f t="shared" ref="L279:Q279" si="460">K279*0.7</f>
        <v>0.48999999999999994</v>
      </c>
      <c r="M279" s="69">
        <f t="shared" si="460"/>
        <v>0.34299999999999992</v>
      </c>
      <c r="N279" s="69">
        <f t="shared" si="460"/>
        <v>0.24009999999999992</v>
      </c>
      <c r="O279" s="69">
        <f t="shared" si="460"/>
        <v>0.16806999999999994</v>
      </c>
      <c r="P279" s="69">
        <f t="shared" si="460"/>
        <v>0.11764899999999995</v>
      </c>
      <c r="Q279" s="69">
        <f t="shared" si="460"/>
        <v>8.2354299999999964E-2</v>
      </c>
      <c r="R279" s="69">
        <f>Q279*0.9</f>
        <v>7.4118869999999976E-2</v>
      </c>
      <c r="S279" s="69">
        <f t="shared" ref="S279:T279" si="461">R279*0.9</f>
        <v>6.6706982999999984E-2</v>
      </c>
      <c r="T279" s="69">
        <f t="shared" si="461"/>
        <v>6.0036284699999984E-2</v>
      </c>
      <c r="U279" s="1">
        <f>(T278/I278)^(1/11)-1</f>
        <v>0.27503945757545134</v>
      </c>
    </row>
    <row r="280" spans="3:22" outlineLevel="4" x14ac:dyDescent="0.2">
      <c r="C280" s="107" t="s">
        <v>170</v>
      </c>
      <c r="E280" s="1"/>
      <c r="F280" s="1"/>
      <c r="G280" s="1"/>
      <c r="H280" s="1"/>
      <c r="I280" s="1"/>
      <c r="J280" s="1"/>
      <c r="K280" s="1"/>
      <c r="L280" s="1"/>
      <c r="M280" s="1"/>
      <c r="N280" s="1"/>
      <c r="O280" s="1"/>
      <c r="P280" s="1"/>
      <c r="Q280" s="1"/>
      <c r="R280" s="1"/>
      <c r="S280" s="1"/>
      <c r="T280" s="1"/>
    </row>
    <row r="281" spans="3:22" outlineLevel="4" x14ac:dyDescent="0.2">
      <c r="C281" s="107" t="s">
        <v>639</v>
      </c>
      <c r="D281" s="43" t="s">
        <v>406</v>
      </c>
      <c r="E281" s="1"/>
      <c r="F281" s="1"/>
      <c r="G281" s="1"/>
      <c r="H281" s="13">
        <f>H278/0.2</f>
        <v>787.6413866293052</v>
      </c>
      <c r="I281" s="13">
        <f>I278/0.2</f>
        <v>2326.9999999999995</v>
      </c>
      <c r="J281" s="13">
        <f t="shared" ref="J281:T281" si="462">J278/0.2</f>
        <v>4653.9999999999991</v>
      </c>
      <c r="K281" s="13">
        <f t="shared" si="462"/>
        <v>7911.7999999999993</v>
      </c>
      <c r="L281" s="13">
        <f t="shared" si="462"/>
        <v>11788.581999999999</v>
      </c>
      <c r="M281" s="13">
        <f t="shared" si="462"/>
        <v>15832.065625999998</v>
      </c>
      <c r="N281" s="13">
        <f t="shared" si="462"/>
        <v>19633.344582802594</v>
      </c>
      <c r="O281" s="13">
        <f t="shared" si="462"/>
        <v>22933.120806834224</v>
      </c>
      <c r="P281" s="13">
        <f t="shared" si="462"/>
        <v>25631.179536637464</v>
      </c>
      <c r="Q281" s="13">
        <f t="shared" si="462"/>
        <v>27742.017385551564</v>
      </c>
      <c r="R281" s="13">
        <f t="shared" si="462"/>
        <v>29798.224365689002</v>
      </c>
      <c r="S281" s="13">
        <f t="shared" si="462"/>
        <v>31785.974011881201</v>
      </c>
      <c r="T281" s="13">
        <f t="shared" si="462"/>
        <v>33694.285797125303</v>
      </c>
      <c r="V281" s="1" t="s">
        <v>969</v>
      </c>
    </row>
    <row r="282" spans="3:22" outlineLevel="4" x14ac:dyDescent="0.2">
      <c r="C282" s="107" t="s">
        <v>183</v>
      </c>
      <c r="E282" s="1"/>
      <c r="F282" s="1"/>
      <c r="G282" s="1"/>
      <c r="H282" s="501">
        <f t="shared" ref="H282:T282" si="463">H281/1000/H40</f>
        <v>1.5033866158081408E-4</v>
      </c>
      <c r="I282" s="501">
        <f t="shared" si="463"/>
        <v>3.5108836639201698E-4</v>
      </c>
      <c r="J282" s="501">
        <f t="shared" si="463"/>
        <v>6.0767818491461742E-4</v>
      </c>
      <c r="K282" s="501">
        <f t="shared" si="463"/>
        <v>9.0618676697793842E-4</v>
      </c>
      <c r="L282" s="501">
        <f t="shared" si="463"/>
        <v>1.1844020024536211E-3</v>
      </c>
      <c r="M282" s="501">
        <f t="shared" si="463"/>
        <v>1.3953086748203624E-3</v>
      </c>
      <c r="N282" s="501">
        <f t="shared" si="463"/>
        <v>1.5178265681094129E-3</v>
      </c>
      <c r="O282" s="501">
        <f t="shared" si="463"/>
        <v>1.5551997187820718E-3</v>
      </c>
      <c r="P282" s="501">
        <f t="shared" si="463"/>
        <v>1.5247082548219854E-3</v>
      </c>
      <c r="Q282" s="501">
        <f t="shared" si="463"/>
        <v>1.4476092419755011E-3</v>
      </c>
      <c r="R282" s="501">
        <f t="shared" si="463"/>
        <v>1.3639512308704226E-3</v>
      </c>
      <c r="S282" s="501">
        <f t="shared" si="463"/>
        <v>1.2762599144218638E-3</v>
      </c>
      <c r="T282" s="501">
        <f t="shared" si="463"/>
        <v>1.1867384368379758E-3</v>
      </c>
    </row>
    <row r="283" spans="3:22" outlineLevel="4" x14ac:dyDescent="0.2">
      <c r="C283" s="107"/>
      <c r="E283" s="1"/>
      <c r="F283" s="1"/>
      <c r="G283" s="1"/>
      <c r="H283" s="1"/>
      <c r="I283" s="1"/>
      <c r="J283" s="1"/>
      <c r="K283" s="1"/>
      <c r="L283" s="1"/>
      <c r="M283" s="1"/>
      <c r="N283" s="1"/>
      <c r="O283" s="1"/>
      <c r="P283" s="1"/>
      <c r="Q283" s="1"/>
      <c r="R283" s="1"/>
      <c r="S283" s="1"/>
      <c r="T283" s="1"/>
    </row>
    <row r="284" spans="3:22" outlineLevel="4" x14ac:dyDescent="0.2">
      <c r="C284" s="112" t="s">
        <v>182</v>
      </c>
      <c r="D284" s="43" t="s">
        <v>295</v>
      </c>
      <c r="E284" s="89"/>
      <c r="F284" s="89"/>
      <c r="G284" s="89"/>
      <c r="H284" s="83">
        <f>H278/H$37</f>
        <v>4.3075820980547181</v>
      </c>
      <c r="I284" s="83">
        <f t="shared" ref="I284:T284" si="464">I278/I$37</f>
        <v>11.588645418326694</v>
      </c>
      <c r="J284" s="83">
        <f t="shared" si="464"/>
        <v>22.250199203187254</v>
      </c>
      <c r="K284" s="83">
        <f t="shared" si="464"/>
        <v>36.312325099601594</v>
      </c>
      <c r="L284" s="83">
        <f t="shared" si="464"/>
        <v>51.941149822470116</v>
      </c>
      <c r="M284" s="83">
        <f t="shared" si="464"/>
        <v>66.966685643114275</v>
      </c>
      <c r="N284" s="83">
        <f t="shared" si="464"/>
        <v>79.723571391384965</v>
      </c>
      <c r="O284" s="83">
        <f t="shared" si="464"/>
        <v>89.397803553729617</v>
      </c>
      <c r="P284" s="83">
        <f t="shared" si="464"/>
        <v>95.918751114261454</v>
      </c>
      <c r="Q284" s="83">
        <f t="shared" si="464"/>
        <v>99.66534981038464</v>
      </c>
      <c r="R284" s="83">
        <f t="shared" si="464"/>
        <v>102.77033559982566</v>
      </c>
      <c r="S284" s="83">
        <f t="shared" si="464"/>
        <v>105.24080124440403</v>
      </c>
      <c r="T284" s="83">
        <f t="shared" si="464"/>
        <v>107.0967052319704</v>
      </c>
    </row>
    <row r="285" spans="3:22" outlineLevel="4" x14ac:dyDescent="0.2">
      <c r="C285" s="107" t="s">
        <v>169</v>
      </c>
      <c r="E285" s="1"/>
      <c r="F285" s="1"/>
      <c r="G285" s="1"/>
      <c r="H285" s="1"/>
      <c r="I285" s="52"/>
      <c r="J285" s="52">
        <f t="shared" ref="J285:T285" si="465">J284/I284-1</f>
        <v>0.92000000000000015</v>
      </c>
      <c r="K285" s="52">
        <f t="shared" si="465"/>
        <v>0.6319999999999999</v>
      </c>
      <c r="L285" s="52">
        <f t="shared" si="465"/>
        <v>0.43039999999999989</v>
      </c>
      <c r="M285" s="52">
        <f t="shared" si="465"/>
        <v>0.28927999999999998</v>
      </c>
      <c r="N285" s="52">
        <f t="shared" si="465"/>
        <v>0.190496</v>
      </c>
      <c r="O285" s="52">
        <f t="shared" si="465"/>
        <v>0.12134719999999977</v>
      </c>
      <c r="P285" s="52">
        <f t="shared" si="465"/>
        <v>7.2943039999999959E-2</v>
      </c>
      <c r="Q285" s="52">
        <f t="shared" si="465"/>
        <v>3.9060127999999805E-2</v>
      </c>
      <c r="R285" s="52">
        <f t="shared" si="465"/>
        <v>3.1154115199999888E-2</v>
      </c>
      <c r="S285" s="52">
        <f t="shared" si="465"/>
        <v>2.4038703680000051E-2</v>
      </c>
      <c r="T285" s="52">
        <f t="shared" si="465"/>
        <v>1.7634833311999998E-2</v>
      </c>
    </row>
    <row r="286" spans="3:22" outlineLevel="4" x14ac:dyDescent="0.2">
      <c r="C286" s="107"/>
      <c r="E286" s="1"/>
      <c r="F286" s="1"/>
      <c r="G286" s="1"/>
      <c r="H286" s="1"/>
      <c r="I286" s="52"/>
      <c r="J286" s="52"/>
      <c r="K286" s="52"/>
      <c r="L286" s="52"/>
      <c r="M286" s="52"/>
      <c r="N286" s="52"/>
      <c r="O286" s="52"/>
      <c r="P286" s="52"/>
      <c r="Q286" s="52"/>
      <c r="R286" s="52"/>
      <c r="S286" s="52"/>
      <c r="T286" s="52"/>
    </row>
    <row r="287" spans="3:22" outlineLevel="4" x14ac:dyDescent="0.2">
      <c r="C287" s="505" t="s">
        <v>973</v>
      </c>
      <c r="E287" s="1"/>
      <c r="F287" s="1"/>
      <c r="G287" s="1"/>
      <c r="H287" s="1"/>
      <c r="I287" s="52"/>
      <c r="J287" s="52"/>
      <c r="K287" s="52"/>
      <c r="L287" s="52"/>
      <c r="M287" s="52"/>
      <c r="N287" s="52"/>
      <c r="O287" s="52"/>
      <c r="P287" s="52"/>
      <c r="Q287" s="52"/>
      <c r="R287" s="52"/>
      <c r="S287" s="52"/>
      <c r="T287" s="52"/>
    </row>
    <row r="288" spans="3:22" outlineLevel="4" x14ac:dyDescent="0.2">
      <c r="C288" s="112" t="s">
        <v>970</v>
      </c>
      <c r="E288" s="1"/>
      <c r="F288" s="1"/>
      <c r="G288" s="1"/>
      <c r="H288" s="12">
        <v>471</v>
      </c>
      <c r="I288" s="12">
        <v>561</v>
      </c>
      <c r="J288" s="226">
        <f>I288+((J284-I284)*10^6/J292)</f>
        <v>692.78567448601837</v>
      </c>
      <c r="K288" s="226">
        <f t="shared" ref="K288:T288" si="466">J288+((K284-J284)*10^6/K292)</f>
        <v>866.60524932114231</v>
      </c>
      <c r="L288" s="226">
        <f t="shared" si="466"/>
        <v>1059.7905250406818</v>
      </c>
      <c r="M288" s="226">
        <f t="shared" si="466"/>
        <v>1245.5186480324019</v>
      </c>
      <c r="N288" s="226">
        <f t="shared" si="466"/>
        <v>1403.2043687632959</v>
      </c>
      <c r="O288" s="226">
        <f t="shared" si="466"/>
        <v>1522.7859266089561</v>
      </c>
      <c r="P288" s="226">
        <f t="shared" si="466"/>
        <v>1603.3902634527046</v>
      </c>
      <c r="Q288" s="226">
        <f t="shared" si="466"/>
        <v>1649.7013402582406</v>
      </c>
      <c r="R288" s="226">
        <f t="shared" si="466"/>
        <v>1688.0815477578305</v>
      </c>
      <c r="S288" s="226">
        <f t="shared" si="466"/>
        <v>1718.6185583882707</v>
      </c>
      <c r="T288" s="226">
        <f t="shared" si="466"/>
        <v>1741.5590756635324</v>
      </c>
    </row>
    <row r="289" spans="3:20" outlineLevel="4" x14ac:dyDescent="0.2">
      <c r="C289" s="107" t="s">
        <v>971</v>
      </c>
      <c r="E289" s="1"/>
      <c r="F289" s="1"/>
      <c r="G289" s="1"/>
      <c r="H289" s="12"/>
      <c r="I289" s="236">
        <f>I288/H288-1</f>
        <v>0.19108280254777066</v>
      </c>
      <c r="J289" s="236">
        <f t="shared" ref="J289:T289" si="467">J288/I288-1</f>
        <v>0.23491207573265305</v>
      </c>
      <c r="K289" s="236">
        <f t="shared" si="467"/>
        <v>0.25089949350364615</v>
      </c>
      <c r="L289" s="236">
        <f t="shared" si="467"/>
        <v>0.22292188498843246</v>
      </c>
      <c r="M289" s="236">
        <f t="shared" si="467"/>
        <v>0.17524984287304379</v>
      </c>
      <c r="N289" s="236">
        <f t="shared" si="467"/>
        <v>0.12660245671953341</v>
      </c>
      <c r="O289" s="236">
        <f t="shared" si="467"/>
        <v>8.5220343171431567E-2</v>
      </c>
      <c r="P289" s="236">
        <f t="shared" si="467"/>
        <v>5.2932152468235572E-2</v>
      </c>
      <c r="Q289" s="236">
        <f t="shared" si="467"/>
        <v>2.8883221921162772E-2</v>
      </c>
      <c r="R289" s="236">
        <f t="shared" si="467"/>
        <v>2.3264942909958508E-2</v>
      </c>
      <c r="S289" s="236">
        <f t="shared" si="467"/>
        <v>1.8089772186065556E-2</v>
      </c>
      <c r="T289" s="236">
        <f t="shared" si="467"/>
        <v>1.3348230858612142E-2</v>
      </c>
    </row>
    <row r="290" spans="3:20" outlineLevel="4" x14ac:dyDescent="0.2">
      <c r="C290" s="112"/>
      <c r="E290" s="1"/>
      <c r="F290" s="1"/>
      <c r="G290" s="1"/>
      <c r="H290" s="12"/>
      <c r="I290" s="236"/>
      <c r="J290" s="52"/>
      <c r="K290" s="52"/>
      <c r="L290" s="52"/>
      <c r="M290" s="52"/>
      <c r="N290" s="52"/>
      <c r="O290" s="52"/>
      <c r="P290" s="52"/>
      <c r="Q290" s="52"/>
      <c r="R290" s="52"/>
      <c r="S290" s="52"/>
      <c r="T290" s="52"/>
    </row>
    <row r="291" spans="3:20" outlineLevel="4" x14ac:dyDescent="0.2">
      <c r="C291" s="112" t="s">
        <v>292</v>
      </c>
      <c r="D291" s="43" t="s">
        <v>109</v>
      </c>
      <c r="E291" s="1"/>
      <c r="F291" s="1"/>
      <c r="G291" s="1"/>
      <c r="H291" s="226">
        <f>IFERROR(H284*10^6/H288,"")</f>
        <v>9145.6095500100182</v>
      </c>
      <c r="I291" s="226">
        <f t="shared" ref="I291:T291" si="468">IFERROR(I284*10^6/I288,"")</f>
        <v>20657.121957801595</v>
      </c>
      <c r="J291" s="226">
        <f t="shared" si="468"/>
        <v>32117.00244768312</v>
      </c>
      <c r="K291" s="226">
        <f t="shared" si="468"/>
        <v>41901.806073811531</v>
      </c>
      <c r="L291" s="226">
        <f t="shared" si="468"/>
        <v>49010.770142973553</v>
      </c>
      <c r="M291" s="226">
        <f t="shared" si="468"/>
        <v>53766.104384630744</v>
      </c>
      <c r="N291" s="226">
        <f t="shared" si="468"/>
        <v>56815.367145449214</v>
      </c>
      <c r="O291" s="226">
        <f t="shared" si="468"/>
        <v>58706.743995728124</v>
      </c>
      <c r="P291" s="226">
        <f t="shared" si="468"/>
        <v>59822.4607574404</v>
      </c>
      <c r="Q291" s="226">
        <f t="shared" si="468"/>
        <v>60414.177632166589</v>
      </c>
      <c r="R291" s="226">
        <f t="shared" si="468"/>
        <v>60879.9591088054</v>
      </c>
      <c r="S291" s="226">
        <f t="shared" si="468"/>
        <v>61235.694640176225</v>
      </c>
      <c r="T291" s="226">
        <f t="shared" si="468"/>
        <v>61494.730054544176</v>
      </c>
    </row>
    <row r="292" spans="3:20" s="58" customFormat="1" outlineLevel="4" x14ac:dyDescent="0.2">
      <c r="C292" s="502" t="s">
        <v>972</v>
      </c>
      <c r="D292" s="43"/>
      <c r="H292" s="503"/>
      <c r="I292" s="503">
        <f>(I284-H284)*10^6/(I288-H288)</f>
        <v>80900.703558577501</v>
      </c>
      <c r="J292" s="504">
        <f>I292</f>
        <v>80900.703558577501</v>
      </c>
      <c r="K292" s="504">
        <f t="shared" ref="K292:T292" si="469">J292</f>
        <v>80900.703558577501</v>
      </c>
      <c r="L292" s="504">
        <f t="shared" si="469"/>
        <v>80900.703558577501</v>
      </c>
      <c r="M292" s="504">
        <f t="shared" si="469"/>
        <v>80900.703558577501</v>
      </c>
      <c r="N292" s="504">
        <f t="shared" si="469"/>
        <v>80900.703558577501</v>
      </c>
      <c r="O292" s="504">
        <f t="shared" si="469"/>
        <v>80900.703558577501</v>
      </c>
      <c r="P292" s="504">
        <f t="shared" si="469"/>
        <v>80900.703558577501</v>
      </c>
      <c r="Q292" s="504">
        <f t="shared" si="469"/>
        <v>80900.703558577501</v>
      </c>
      <c r="R292" s="504">
        <f t="shared" si="469"/>
        <v>80900.703558577501</v>
      </c>
      <c r="S292" s="504">
        <f t="shared" si="469"/>
        <v>80900.703558577501</v>
      </c>
      <c r="T292" s="504">
        <f t="shared" si="469"/>
        <v>80900.703558577501</v>
      </c>
    </row>
    <row r="293" spans="3:20" outlineLevel="4" x14ac:dyDescent="0.2">
      <c r="C293" s="107"/>
      <c r="E293" s="1"/>
      <c r="F293" s="1"/>
      <c r="G293" s="1"/>
      <c r="H293" s="226"/>
      <c r="I293" s="226"/>
      <c r="J293" s="226"/>
      <c r="K293" s="226"/>
      <c r="L293" s="226"/>
      <c r="M293" s="226"/>
      <c r="N293" s="226"/>
      <c r="O293" s="226"/>
      <c r="P293" s="226"/>
      <c r="Q293" s="226"/>
      <c r="R293" s="226"/>
      <c r="S293" s="226"/>
      <c r="T293" s="226"/>
    </row>
    <row r="294" spans="3:20" outlineLevel="4" x14ac:dyDescent="0.2">
      <c r="C294" s="121" t="s">
        <v>167</v>
      </c>
      <c r="E294" s="1"/>
      <c r="F294" s="1"/>
      <c r="G294" s="1"/>
      <c r="H294" s="1"/>
      <c r="I294" s="1"/>
      <c r="J294" s="1"/>
      <c r="K294" s="1"/>
      <c r="L294" s="1"/>
      <c r="M294" s="1"/>
      <c r="N294" s="1"/>
      <c r="O294" s="1"/>
      <c r="P294" s="1"/>
      <c r="Q294" s="1"/>
      <c r="R294" s="1"/>
      <c r="S294" s="1"/>
      <c r="T294" s="1"/>
    </row>
    <row r="295" spans="3:20" outlineLevel="4" x14ac:dyDescent="0.2">
      <c r="C295" s="107"/>
      <c r="E295" s="1"/>
      <c r="F295" s="1"/>
      <c r="G295" s="1"/>
      <c r="H295" s="1"/>
      <c r="I295" s="1"/>
      <c r="J295" s="1"/>
      <c r="K295" s="1"/>
      <c r="L295" s="1"/>
      <c r="M295" s="1"/>
      <c r="N295" s="1"/>
      <c r="O295" s="1"/>
      <c r="P295" s="1"/>
      <c r="Q295" s="1"/>
      <c r="R295" s="1"/>
      <c r="S295" s="1"/>
      <c r="T295" s="1"/>
    </row>
    <row r="296" spans="3:20" outlineLevel="4" x14ac:dyDescent="0.2">
      <c r="C296" s="123" t="s">
        <v>184</v>
      </c>
      <c r="E296" s="1"/>
      <c r="F296" s="1"/>
      <c r="G296" s="1"/>
      <c r="H296" s="1"/>
      <c r="I296" s="1"/>
      <c r="J296" s="1"/>
      <c r="K296" s="1"/>
      <c r="L296" s="1"/>
      <c r="M296" s="1"/>
      <c r="N296" s="1"/>
      <c r="O296" s="1"/>
      <c r="P296" s="1"/>
      <c r="Q296" s="1"/>
      <c r="R296" s="1"/>
      <c r="S296" s="1"/>
      <c r="T296" s="1"/>
    </row>
    <row r="297" spans="3:20" outlineLevel="4" x14ac:dyDescent="0.2">
      <c r="C297" s="67" t="s">
        <v>185</v>
      </c>
      <c r="D297" s="43" t="s">
        <v>786</v>
      </c>
      <c r="E297" s="1"/>
      <c r="F297" s="1"/>
      <c r="G297" s="1"/>
      <c r="H297" s="1"/>
      <c r="I297" s="127">
        <v>100</v>
      </c>
      <c r="J297" s="1"/>
      <c r="K297" s="1"/>
      <c r="L297" s="1"/>
      <c r="M297" s="1"/>
      <c r="N297" s="1"/>
      <c r="O297" s="1"/>
      <c r="P297" s="1"/>
      <c r="Q297" s="1"/>
      <c r="R297" s="1"/>
      <c r="S297" s="1"/>
      <c r="T297" s="1"/>
    </row>
    <row r="298" spans="3:20" outlineLevel="4" x14ac:dyDescent="0.2">
      <c r="C298" s="67" t="s">
        <v>186</v>
      </c>
      <c r="E298" s="1"/>
      <c r="F298" s="1"/>
      <c r="G298" s="1"/>
      <c r="H298" s="1"/>
      <c r="I298" s="127" t="s">
        <v>200</v>
      </c>
      <c r="J298" s="1"/>
      <c r="K298" s="1"/>
      <c r="L298" s="1"/>
      <c r="M298" s="1"/>
      <c r="N298" s="1"/>
      <c r="O298" s="1"/>
      <c r="P298" s="1"/>
      <c r="Q298" s="1"/>
      <c r="R298" s="1"/>
      <c r="S298" s="1"/>
      <c r="T298" s="1"/>
    </row>
    <row r="299" spans="3:20" outlineLevel="4" x14ac:dyDescent="0.2">
      <c r="C299" s="67" t="s">
        <v>187</v>
      </c>
      <c r="E299" s="1"/>
      <c r="F299" s="1"/>
      <c r="G299" s="1"/>
      <c r="H299" s="1"/>
      <c r="I299" s="127" t="s">
        <v>201</v>
      </c>
      <c r="J299" s="1"/>
      <c r="K299" s="1"/>
      <c r="L299" s="1"/>
      <c r="M299" s="1"/>
      <c r="N299" s="1"/>
      <c r="O299" s="1"/>
      <c r="P299" s="1"/>
      <c r="Q299" s="1"/>
      <c r="R299" s="1"/>
      <c r="S299" s="1"/>
      <c r="T299" s="1"/>
    </row>
    <row r="300" spans="3:20" outlineLevel="4" x14ac:dyDescent="0.2">
      <c r="C300" s="67" t="s">
        <v>188</v>
      </c>
      <c r="E300" s="1"/>
      <c r="F300" s="1"/>
      <c r="G300" s="1"/>
      <c r="H300" s="1"/>
      <c r="I300" s="127">
        <v>27</v>
      </c>
      <c r="J300" s="1"/>
      <c r="K300" s="1"/>
      <c r="L300" s="1"/>
      <c r="M300" s="1"/>
      <c r="N300" s="1"/>
      <c r="O300" s="1"/>
      <c r="P300" s="1"/>
      <c r="Q300" s="1"/>
      <c r="R300" s="1"/>
      <c r="S300" s="1"/>
      <c r="T300" s="1"/>
    </row>
    <row r="301" spans="3:20" outlineLevel="4" x14ac:dyDescent="0.2">
      <c r="C301" s="67"/>
      <c r="E301" s="1"/>
      <c r="F301" s="1"/>
      <c r="G301" s="1"/>
      <c r="H301" s="1"/>
      <c r="I301" s="1">
        <f>0.1*25</f>
        <v>2.5</v>
      </c>
      <c r="J301" s="1"/>
      <c r="K301" s="1"/>
      <c r="L301" s="1"/>
      <c r="M301" s="1"/>
      <c r="N301" s="1"/>
      <c r="O301" s="1"/>
      <c r="P301" s="1"/>
      <c r="Q301" s="1"/>
      <c r="R301" s="1"/>
      <c r="S301" s="1"/>
      <c r="T301" s="1"/>
    </row>
    <row r="302" spans="3:20" outlineLevel="4" x14ac:dyDescent="0.2">
      <c r="C302" s="123" t="s">
        <v>189</v>
      </c>
      <c r="E302" s="1"/>
      <c r="F302" s="1"/>
      <c r="G302" s="1"/>
      <c r="H302" s="1"/>
      <c r="I302" s="1"/>
      <c r="J302" s="1"/>
      <c r="K302" s="1"/>
      <c r="L302" s="1"/>
      <c r="M302" s="1"/>
      <c r="N302" s="1"/>
      <c r="O302" s="1"/>
      <c r="P302" s="1"/>
      <c r="Q302" s="1"/>
      <c r="R302" s="1"/>
      <c r="S302" s="1"/>
      <c r="T302" s="1"/>
    </row>
    <row r="303" spans="3:20" outlineLevel="4" x14ac:dyDescent="0.2">
      <c r="C303" s="124" t="s">
        <v>190</v>
      </c>
      <c r="E303" s="13">
        <f t="shared" ref="E303:T303" si="470">E44</f>
        <v>44680.014000000003</v>
      </c>
      <c r="F303" s="13">
        <f t="shared" si="470"/>
        <v>44298.64</v>
      </c>
      <c r="G303" s="13">
        <f t="shared" si="470"/>
        <v>41048.766000000003</v>
      </c>
      <c r="H303" s="13">
        <f t="shared" si="470"/>
        <v>37732.836000000003</v>
      </c>
      <c r="I303" s="13">
        <f t="shared" si="470"/>
        <v>37860.220999999998</v>
      </c>
      <c r="J303" s="13">
        <f t="shared" si="470"/>
        <v>37557.339231999998</v>
      </c>
      <c r="K303" s="13">
        <f t="shared" si="470"/>
        <v>37256.880518143997</v>
      </c>
      <c r="L303" s="13">
        <f t="shared" si="470"/>
        <v>36958.825473998848</v>
      </c>
      <c r="M303" s="13">
        <f t="shared" si="470"/>
        <v>36663.154870206854</v>
      </c>
      <c r="N303" s="13">
        <f t="shared" si="470"/>
        <v>36369.849631245197</v>
      </c>
      <c r="O303" s="13">
        <f t="shared" si="470"/>
        <v>36078.890834195234</v>
      </c>
      <c r="P303" s="13">
        <f t="shared" si="470"/>
        <v>35790.259707521669</v>
      </c>
      <c r="Q303" s="13">
        <f t="shared" si="470"/>
        <v>35503.937629861495</v>
      </c>
      <c r="R303" s="13">
        <f t="shared" si="470"/>
        <v>35219.9061288226</v>
      </c>
      <c r="S303" s="13">
        <f t="shared" si="470"/>
        <v>34938.146879792017</v>
      </c>
      <c r="T303" s="13">
        <f t="shared" si="470"/>
        <v>34658.641704753682</v>
      </c>
    </row>
    <row r="304" spans="3:20" outlineLevel="4" x14ac:dyDescent="0.2">
      <c r="C304" s="124" t="s">
        <v>148</v>
      </c>
      <c r="E304" s="1"/>
      <c r="F304" s="52">
        <f>IFERROR(F303/E303-1,"")</f>
        <v>-8.5356732430746929E-3</v>
      </c>
      <c r="G304" s="52">
        <f t="shared" ref="G304:O304" si="471">IFERROR(G303/F303-1,"")</f>
        <v>-7.3362839130049928E-2</v>
      </c>
      <c r="H304" s="52">
        <f t="shared" si="471"/>
        <v>-8.0780260239735391E-2</v>
      </c>
      <c r="I304" s="52">
        <f t="shared" si="471"/>
        <v>3.3759720578647734E-3</v>
      </c>
      <c r="J304" s="52">
        <f t="shared" si="471"/>
        <v>-8.0000000000000071E-3</v>
      </c>
      <c r="K304" s="52">
        <f t="shared" si="471"/>
        <v>-8.0000000000000071E-3</v>
      </c>
      <c r="L304" s="52">
        <f t="shared" si="471"/>
        <v>-7.9999999999998961E-3</v>
      </c>
      <c r="M304" s="52">
        <f t="shared" si="471"/>
        <v>-8.0000000000001181E-3</v>
      </c>
      <c r="N304" s="52">
        <f t="shared" si="471"/>
        <v>-8.0000000000000071E-3</v>
      </c>
      <c r="O304" s="52">
        <f t="shared" si="471"/>
        <v>-8.0000000000000071E-3</v>
      </c>
      <c r="P304" s="52">
        <f t="shared" ref="P304" si="472">IFERROR(P303/O303-1,"")</f>
        <v>-8.0000000000001181E-3</v>
      </c>
      <c r="Q304" s="52">
        <f t="shared" ref="Q304" si="473">IFERROR(Q303/P303-1,"")</f>
        <v>-8.0000000000000071E-3</v>
      </c>
      <c r="R304" s="52">
        <f t="shared" ref="R304" si="474">IFERROR(R303/Q303-1,"")</f>
        <v>-8.0000000000001181E-3</v>
      </c>
      <c r="S304" s="52">
        <f t="shared" ref="S304" si="475">IFERROR(S303/R303-1,"")</f>
        <v>-8.0000000000001181E-3</v>
      </c>
      <c r="T304" s="52">
        <f t="shared" ref="T304" si="476">IFERROR(T303/S303-1,"")</f>
        <v>-8.0000000000000071E-3</v>
      </c>
    </row>
    <row r="305" spans="3:22" outlineLevel="4" x14ac:dyDescent="0.2">
      <c r="C305" s="125"/>
      <c r="E305" s="1"/>
      <c r="F305" s="1"/>
      <c r="G305" s="1"/>
      <c r="H305" s="1"/>
      <c r="I305" s="1"/>
      <c r="J305" s="1"/>
      <c r="K305" s="1"/>
      <c r="L305" s="1"/>
      <c r="M305" s="1"/>
      <c r="N305" s="1"/>
      <c r="O305" s="1"/>
      <c r="P305" s="1"/>
      <c r="Q305" s="1"/>
      <c r="R305" s="1"/>
      <c r="S305" s="1"/>
      <c r="T305" s="1"/>
    </row>
    <row r="306" spans="3:22" outlineLevel="4" x14ac:dyDescent="0.2">
      <c r="C306" s="124" t="s">
        <v>191</v>
      </c>
      <c r="E306" s="1"/>
      <c r="F306" s="1"/>
      <c r="G306" s="1"/>
      <c r="H306" s="1"/>
      <c r="I306" s="68">
        <v>0.12</v>
      </c>
      <c r="J306" s="345">
        <f>I306+J307</f>
        <v>0.15</v>
      </c>
      <c r="K306" s="345">
        <f t="shared" ref="K306:O306" si="477">J306+K307</f>
        <v>0.17499999999999999</v>
      </c>
      <c r="L306" s="345">
        <f t="shared" si="477"/>
        <v>0.19499999999999998</v>
      </c>
      <c r="M306" s="345">
        <f t="shared" si="477"/>
        <v>0.20999999999999996</v>
      </c>
      <c r="N306" s="345">
        <f t="shared" si="477"/>
        <v>0.21999999999999997</v>
      </c>
      <c r="O306" s="345">
        <f t="shared" si="477"/>
        <v>0.22499999999999998</v>
      </c>
      <c r="P306" s="345">
        <f t="shared" ref="P306" si="478">O306+P307</f>
        <v>0.22999999999999998</v>
      </c>
      <c r="Q306" s="345">
        <f t="shared" ref="Q306" si="479">P306+Q307</f>
        <v>0.23499999999999999</v>
      </c>
      <c r="R306" s="345">
        <f t="shared" ref="R306" si="480">Q306+R307</f>
        <v>0.24</v>
      </c>
      <c r="S306" s="345">
        <f t="shared" ref="S306" si="481">R306+S307</f>
        <v>0.245</v>
      </c>
      <c r="T306" s="345">
        <f t="shared" ref="T306" si="482">S306+T307</f>
        <v>0.25</v>
      </c>
    </row>
    <row r="307" spans="3:22" outlineLevel="4" x14ac:dyDescent="0.2">
      <c r="C307" s="124" t="s">
        <v>148</v>
      </c>
      <c r="E307" s="1"/>
      <c r="F307" s="1"/>
      <c r="G307" s="1"/>
      <c r="H307" s="1"/>
      <c r="I307" s="1"/>
      <c r="J307" s="68">
        <v>0.03</v>
      </c>
      <c r="K307" s="69">
        <f>MAX(J307-0.5%,0.5%)</f>
        <v>2.4999999999999998E-2</v>
      </c>
      <c r="L307" s="69">
        <f t="shared" ref="L307:O307" si="483">MAX(K307-0.5%,0.5%)</f>
        <v>1.9999999999999997E-2</v>
      </c>
      <c r="M307" s="69">
        <f t="shared" si="483"/>
        <v>1.4999999999999996E-2</v>
      </c>
      <c r="N307" s="69">
        <f t="shared" si="483"/>
        <v>9.999999999999995E-3</v>
      </c>
      <c r="O307" s="69">
        <f t="shared" si="483"/>
        <v>5.0000000000000001E-3</v>
      </c>
      <c r="P307" s="69">
        <f t="shared" ref="P307" si="484">MAX(O307-0.5%,0.5%)</f>
        <v>5.0000000000000001E-3</v>
      </c>
      <c r="Q307" s="69">
        <f t="shared" ref="Q307" si="485">MAX(P307-0.5%,0.5%)</f>
        <v>5.0000000000000001E-3</v>
      </c>
      <c r="R307" s="69">
        <f t="shared" ref="R307" si="486">MAX(Q307-0.5%,0.5%)</f>
        <v>5.0000000000000001E-3</v>
      </c>
      <c r="S307" s="69">
        <f t="shared" ref="S307" si="487">MAX(R307-0.5%,0.5%)</f>
        <v>5.0000000000000001E-3</v>
      </c>
      <c r="T307" s="69">
        <f t="shared" ref="T307" si="488">MAX(S307-0.5%,0.5%)</f>
        <v>5.0000000000000001E-3</v>
      </c>
    </row>
    <row r="308" spans="3:22" outlineLevel="4" x14ac:dyDescent="0.2">
      <c r="C308" s="124"/>
      <c r="E308" s="1"/>
      <c r="F308" s="1"/>
      <c r="G308" s="1"/>
      <c r="H308" s="1"/>
      <c r="I308" s="1"/>
      <c r="J308" s="1"/>
      <c r="K308" s="1"/>
      <c r="L308" s="1"/>
      <c r="M308" s="1"/>
      <c r="N308" s="1"/>
      <c r="O308" s="1"/>
      <c r="P308" s="1"/>
      <c r="Q308" s="1"/>
      <c r="R308" s="1"/>
      <c r="S308" s="1"/>
      <c r="T308" s="1"/>
    </row>
    <row r="309" spans="3:22" outlineLevel="4" x14ac:dyDescent="0.2">
      <c r="C309" s="124" t="s">
        <v>192</v>
      </c>
      <c r="D309" s="43" t="s">
        <v>134</v>
      </c>
      <c r="E309" s="1"/>
      <c r="F309" s="1"/>
      <c r="G309" s="1"/>
      <c r="H309" s="1"/>
      <c r="I309" s="13">
        <f>I303*I306</f>
        <v>4543.2265199999993</v>
      </c>
      <c r="J309" s="13">
        <f t="shared" ref="J309:O309" si="489">J303*J306</f>
        <v>5633.6008847999992</v>
      </c>
      <c r="K309" s="13">
        <f t="shared" si="489"/>
        <v>6519.954090675199</v>
      </c>
      <c r="L309" s="13">
        <f t="shared" si="489"/>
        <v>7206.9709674297746</v>
      </c>
      <c r="M309" s="13">
        <f t="shared" si="489"/>
        <v>7699.2625227434382</v>
      </c>
      <c r="N309" s="13">
        <f t="shared" si="489"/>
        <v>8001.3669188739423</v>
      </c>
      <c r="O309" s="13">
        <f t="shared" si="489"/>
        <v>8117.7504376939269</v>
      </c>
      <c r="P309" s="13">
        <f t="shared" ref="P309:T309" si="490">P303*P306</f>
        <v>8231.7597327299827</v>
      </c>
      <c r="Q309" s="13">
        <f t="shared" si="490"/>
        <v>8343.4253430174504</v>
      </c>
      <c r="R309" s="13">
        <f t="shared" si="490"/>
        <v>8452.7774709174246</v>
      </c>
      <c r="S309" s="13">
        <f t="shared" si="490"/>
        <v>8559.8459855490437</v>
      </c>
      <c r="T309" s="13">
        <f t="shared" si="490"/>
        <v>8664.6604261884204</v>
      </c>
    </row>
    <row r="310" spans="3:22" outlineLevel="4" x14ac:dyDescent="0.2">
      <c r="C310" s="124" t="s">
        <v>193</v>
      </c>
      <c r="E310" s="1"/>
      <c r="F310" s="1"/>
      <c r="G310" s="1"/>
      <c r="H310" s="1"/>
      <c r="I310" s="68">
        <v>0.63</v>
      </c>
      <c r="J310" s="128">
        <f>I310+1%</f>
        <v>0.64</v>
      </c>
      <c r="K310" s="128">
        <f t="shared" ref="K310:T310" si="491">J310+1%</f>
        <v>0.65</v>
      </c>
      <c r="L310" s="128">
        <f t="shared" si="491"/>
        <v>0.66</v>
      </c>
      <c r="M310" s="128">
        <f t="shared" si="491"/>
        <v>0.67</v>
      </c>
      <c r="N310" s="128">
        <f t="shared" si="491"/>
        <v>0.68</v>
      </c>
      <c r="O310" s="128">
        <f t="shared" si="491"/>
        <v>0.69000000000000006</v>
      </c>
      <c r="P310" s="128">
        <f t="shared" si="491"/>
        <v>0.70000000000000007</v>
      </c>
      <c r="Q310" s="128">
        <f t="shared" si="491"/>
        <v>0.71000000000000008</v>
      </c>
      <c r="R310" s="128">
        <f t="shared" si="491"/>
        <v>0.72000000000000008</v>
      </c>
      <c r="S310" s="128">
        <f t="shared" si="491"/>
        <v>0.73000000000000009</v>
      </c>
      <c r="T310" s="128">
        <f t="shared" si="491"/>
        <v>0.7400000000000001</v>
      </c>
      <c r="V310" s="1" t="s">
        <v>775</v>
      </c>
    </row>
    <row r="311" spans="3:22" outlineLevel="4" x14ac:dyDescent="0.2">
      <c r="C311" s="125" t="s">
        <v>194</v>
      </c>
      <c r="D311" s="43" t="s">
        <v>134</v>
      </c>
      <c r="E311" s="1"/>
      <c r="F311" s="1"/>
      <c r="G311" s="1"/>
      <c r="H311" s="1"/>
      <c r="I311" s="17">
        <f>I309*I310</f>
        <v>2862.2327075999997</v>
      </c>
      <c r="J311" s="17">
        <f>J309*J310</f>
        <v>3605.5045662719995</v>
      </c>
      <c r="K311" s="17">
        <f t="shared" ref="K311:O311" si="492">K309*K310</f>
        <v>4237.9701589388796</v>
      </c>
      <c r="L311" s="17">
        <f t="shared" si="492"/>
        <v>4756.6008385036512</v>
      </c>
      <c r="M311" s="17">
        <f t="shared" si="492"/>
        <v>5158.5058902381043</v>
      </c>
      <c r="N311" s="17">
        <f t="shared" si="492"/>
        <v>5440.929504834281</v>
      </c>
      <c r="O311" s="17">
        <f t="shared" si="492"/>
        <v>5601.2478020088101</v>
      </c>
      <c r="P311" s="17">
        <f t="shared" ref="P311:T311" si="493">P309*P310</f>
        <v>5762.2318129109881</v>
      </c>
      <c r="Q311" s="17">
        <f t="shared" si="493"/>
        <v>5923.8319935423906</v>
      </c>
      <c r="R311" s="17">
        <f t="shared" si="493"/>
        <v>6085.9997790605466</v>
      </c>
      <c r="S311" s="17">
        <f t="shared" si="493"/>
        <v>6248.6875694508026</v>
      </c>
      <c r="T311" s="17">
        <f t="shared" si="493"/>
        <v>6411.8487153794322</v>
      </c>
    </row>
    <row r="312" spans="3:22" outlineLevel="4" x14ac:dyDescent="0.2">
      <c r="C312" s="124" t="s">
        <v>148</v>
      </c>
      <c r="E312" s="1"/>
      <c r="F312" s="1"/>
      <c r="G312" s="1"/>
      <c r="H312" s="1"/>
      <c r="I312" s="52"/>
      <c r="J312" s="52">
        <f t="shared" ref="J312" si="494">IFERROR(J311/I311-1,"")</f>
        <v>0.25968253968253974</v>
      </c>
      <c r="K312" s="52">
        <f t="shared" ref="K312" si="495">IFERROR(K311/J311-1,"")</f>
        <v>0.17541666666666678</v>
      </c>
      <c r="L312" s="52">
        <f t="shared" ref="L312" si="496">IFERROR(L311/K311-1,"")</f>
        <v>0.12237714285714274</v>
      </c>
      <c r="M312" s="52">
        <f t="shared" ref="M312" si="497">IFERROR(M311/L311-1,"")</f>
        <v>8.449417249417257E-2</v>
      </c>
      <c r="N312" s="52">
        <f t="shared" ref="N312" si="498">IFERROR(N311/M311-1,"")</f>
        <v>5.4749111584932342E-2</v>
      </c>
      <c r="O312" s="52">
        <f t="shared" ref="O312" si="499">IFERROR(O311/N311-1,"")</f>
        <v>2.9465240641711299E-2</v>
      </c>
      <c r="P312" s="52">
        <f t="shared" ref="P312" si="500">IFERROR(P311/O311-1,"")</f>
        <v>2.8740740740740511E-2</v>
      </c>
      <c r="Q312" s="52">
        <f t="shared" ref="Q312" si="501">IFERROR(Q311/P311-1,"")</f>
        <v>2.8044720496894548E-2</v>
      </c>
      <c r="R312" s="52">
        <f t="shared" ref="R312" si="502">IFERROR(R311/Q311-1,"")</f>
        <v>2.7375486964339446E-2</v>
      </c>
      <c r="S312" s="52">
        <f t="shared" ref="S312" si="503">IFERROR(S311/R311-1,"")</f>
        <v>2.673148148148119E-2</v>
      </c>
      <c r="T312" s="52">
        <f t="shared" ref="T312" si="504">IFERROR(T311/S311-1,"")</f>
        <v>2.611126642437811E-2</v>
      </c>
    </row>
    <row r="313" spans="3:22" outlineLevel="4" x14ac:dyDescent="0.2">
      <c r="C313" s="124" t="s">
        <v>464</v>
      </c>
      <c r="E313" s="1"/>
      <c r="F313" s="1"/>
      <c r="G313" s="1"/>
      <c r="H313" s="1"/>
      <c r="I313" s="52">
        <f>I311/I303</f>
        <v>7.5600000000000001E-2</v>
      </c>
      <c r="J313" s="52">
        <f t="shared" ref="J313:T313" si="505">J311/J303</f>
        <v>9.5999999999999988E-2</v>
      </c>
      <c r="K313" s="52">
        <f t="shared" si="505"/>
        <v>0.11375</v>
      </c>
      <c r="L313" s="52">
        <f t="shared" si="505"/>
        <v>0.12869999999999998</v>
      </c>
      <c r="M313" s="52">
        <f t="shared" si="505"/>
        <v>0.14069999999999999</v>
      </c>
      <c r="N313" s="52">
        <f t="shared" si="505"/>
        <v>0.14959999999999998</v>
      </c>
      <c r="O313" s="52">
        <f t="shared" si="505"/>
        <v>0.15525</v>
      </c>
      <c r="P313" s="52">
        <f t="shared" si="505"/>
        <v>0.16099999999999998</v>
      </c>
      <c r="Q313" s="52">
        <f t="shared" si="505"/>
        <v>0.16685</v>
      </c>
      <c r="R313" s="52">
        <f t="shared" si="505"/>
        <v>0.17280000000000004</v>
      </c>
      <c r="S313" s="52">
        <f t="shared" si="505"/>
        <v>0.17885000000000001</v>
      </c>
      <c r="T313" s="52">
        <f t="shared" si="505"/>
        <v>0.18500000000000003</v>
      </c>
    </row>
    <row r="314" spans="3:22" outlineLevel="4" x14ac:dyDescent="0.2">
      <c r="C314" s="124"/>
      <c r="E314" s="1"/>
      <c r="F314" s="1"/>
      <c r="G314" s="1"/>
      <c r="H314" s="1"/>
      <c r="L314" s="1"/>
      <c r="M314" s="1"/>
      <c r="N314" s="1"/>
      <c r="O314" s="1"/>
      <c r="P314" s="1"/>
      <c r="Q314" s="1"/>
      <c r="R314" s="1"/>
      <c r="S314" s="1"/>
      <c r="T314" s="1"/>
    </row>
    <row r="315" spans="3:22" outlineLevel="4" x14ac:dyDescent="0.2">
      <c r="C315" s="124" t="s">
        <v>195</v>
      </c>
      <c r="E315" s="1"/>
      <c r="F315" s="1"/>
      <c r="G315" s="1"/>
      <c r="H315" s="145"/>
      <c r="I315" s="13">
        <f>I297/(I311/1000)</f>
        <v>34.937760208830341</v>
      </c>
      <c r="J315" s="13">
        <f>I315*(1+J316)</f>
        <v>35.636515413006947</v>
      </c>
      <c r="K315" s="13">
        <f t="shared" ref="K315:O315" si="506">J315*(1+K316)</f>
        <v>36.349245721267089</v>
      </c>
      <c r="L315" s="13">
        <f t="shared" si="506"/>
        <v>37.076230635692433</v>
      </c>
      <c r="M315" s="13">
        <f t="shared" si="506"/>
        <v>37.817755248406279</v>
      </c>
      <c r="N315" s="13">
        <f t="shared" si="506"/>
        <v>38.574110353374408</v>
      </c>
      <c r="O315" s="13">
        <f t="shared" si="506"/>
        <v>39.345592560441894</v>
      </c>
      <c r="P315" s="13">
        <f t="shared" ref="P315" si="507">O315*(1+P316)</f>
        <v>40.132504411650736</v>
      </c>
      <c r="Q315" s="13">
        <f t="shared" ref="Q315" si="508">P315*(1+Q316)</f>
        <v>40.935154499883751</v>
      </c>
      <c r="R315" s="13">
        <f t="shared" ref="R315" si="509">Q315*(1+R316)</f>
        <v>41.753857589881427</v>
      </c>
      <c r="S315" s="13">
        <f t="shared" ref="S315" si="510">R315*(1+S316)</f>
        <v>42.588934741679054</v>
      </c>
      <c r="T315" s="13">
        <f t="shared" ref="T315" si="511">S315*(1+T316)</f>
        <v>43.440713436512638</v>
      </c>
    </row>
    <row r="316" spans="3:22" outlineLevel="4" x14ac:dyDescent="0.2">
      <c r="C316" s="124" t="s">
        <v>148</v>
      </c>
      <c r="E316" s="1"/>
      <c r="F316" s="1"/>
      <c r="G316" s="1"/>
      <c r="H316" s="1"/>
      <c r="I316" s="1"/>
      <c r="J316" s="73">
        <v>0.02</v>
      </c>
      <c r="K316" s="73">
        <v>0.02</v>
      </c>
      <c r="L316" s="73">
        <v>0.02</v>
      </c>
      <c r="M316" s="73">
        <v>0.02</v>
      </c>
      <c r="N316" s="73">
        <v>0.02</v>
      </c>
      <c r="O316" s="73">
        <v>0.02</v>
      </c>
      <c r="P316" s="73">
        <v>0.02</v>
      </c>
      <c r="Q316" s="73">
        <v>0.02</v>
      </c>
      <c r="R316" s="73">
        <v>0.02</v>
      </c>
      <c r="S316" s="73">
        <v>0.02</v>
      </c>
      <c r="T316" s="73">
        <v>0.02</v>
      </c>
    </row>
    <row r="317" spans="3:22" outlineLevel="4" x14ac:dyDescent="0.2">
      <c r="C317" s="125"/>
      <c r="E317" s="1"/>
      <c r="F317" s="1"/>
      <c r="G317" s="1"/>
      <c r="H317" s="1"/>
      <c r="I317" s="1"/>
      <c r="J317" s="1"/>
      <c r="K317" s="1"/>
      <c r="L317" s="1"/>
      <c r="M317" s="1"/>
      <c r="N317" s="1"/>
      <c r="O317" s="1"/>
      <c r="P317" s="1"/>
      <c r="Q317" s="1"/>
      <c r="R317" s="1"/>
      <c r="S317" s="1"/>
      <c r="T317" s="1"/>
    </row>
    <row r="318" spans="3:22" outlineLevel="4" x14ac:dyDescent="0.2">
      <c r="C318" s="124" t="s">
        <v>196</v>
      </c>
      <c r="D318" s="43" t="s">
        <v>290</v>
      </c>
      <c r="E318" s="1"/>
      <c r="F318" s="1"/>
      <c r="G318" s="1"/>
      <c r="H318" s="1"/>
      <c r="I318" s="253">
        <v>160</v>
      </c>
      <c r="J318" s="13">
        <f>I318*(1+J319)</f>
        <v>172.8</v>
      </c>
      <c r="K318" s="13">
        <f t="shared" ref="K318" si="512">J318*(1+K319)</f>
        <v>186.62400000000002</v>
      </c>
      <c r="L318" s="13">
        <f t="shared" ref="L318" si="513">K318*(1+L319)</f>
        <v>201.55392000000003</v>
      </c>
      <c r="M318" s="13">
        <f t="shared" ref="M318" si="514">L318*(1+M319)</f>
        <v>217.67823360000006</v>
      </c>
      <c r="N318" s="13">
        <f t="shared" ref="N318" si="515">M318*(1+N319)</f>
        <v>235.09249228800007</v>
      </c>
      <c r="O318" s="13">
        <f t="shared" ref="O318" si="516">N318*(1+O319)</f>
        <v>253.89989167104011</v>
      </c>
      <c r="P318" s="13">
        <f t="shared" ref="P318" si="517">O318*(1+P319)</f>
        <v>274.21188300472335</v>
      </c>
      <c r="Q318" s="13">
        <f t="shared" ref="Q318" si="518">P318*(1+Q319)</f>
        <v>296.14883364510126</v>
      </c>
      <c r="R318" s="13">
        <f t="shared" ref="R318" si="519">Q318*(1+R319)</f>
        <v>319.84074033670936</v>
      </c>
      <c r="S318" s="13">
        <f t="shared" ref="S318" si="520">R318*(1+S319)</f>
        <v>345.42799956364615</v>
      </c>
      <c r="T318" s="13">
        <f t="shared" ref="T318" si="521">S318*(1+T319)</f>
        <v>373.06223952873785</v>
      </c>
    </row>
    <row r="319" spans="3:22" outlineLevel="4" x14ac:dyDescent="0.2">
      <c r="C319" s="124" t="s">
        <v>148</v>
      </c>
      <c r="E319" s="1"/>
      <c r="F319" s="1"/>
      <c r="G319" s="1"/>
      <c r="H319" s="1"/>
      <c r="I319" s="1"/>
      <c r="J319" s="73">
        <v>0.08</v>
      </c>
      <c r="K319" s="73">
        <v>0.08</v>
      </c>
      <c r="L319" s="73">
        <v>0.08</v>
      </c>
      <c r="M319" s="73">
        <v>0.08</v>
      </c>
      <c r="N319" s="73">
        <v>0.08</v>
      </c>
      <c r="O319" s="73">
        <v>0.08</v>
      </c>
      <c r="P319" s="73">
        <v>0.08</v>
      </c>
      <c r="Q319" s="73">
        <v>0.08</v>
      </c>
      <c r="R319" s="73">
        <v>0.08</v>
      </c>
      <c r="S319" s="73">
        <v>0.08</v>
      </c>
      <c r="T319" s="73">
        <v>0.08</v>
      </c>
    </row>
    <row r="320" spans="3:22" outlineLevel="4" x14ac:dyDescent="0.2">
      <c r="C320" s="126"/>
      <c r="E320" s="1"/>
      <c r="F320" s="1"/>
      <c r="G320" s="1"/>
      <c r="H320" s="1"/>
      <c r="I320" s="149">
        <f>I318/I37</f>
        <v>3.9840637450199208</v>
      </c>
      <c r="J320" s="1"/>
      <c r="K320" s="1"/>
      <c r="L320" s="1"/>
      <c r="M320" s="1"/>
      <c r="N320" s="1"/>
      <c r="O320" s="1"/>
      <c r="P320" s="1"/>
      <c r="Q320" s="1"/>
      <c r="R320" s="1"/>
      <c r="S320" s="1"/>
      <c r="T320" s="1"/>
    </row>
    <row r="321" spans="3:22" outlineLevel="4" x14ac:dyDescent="0.2">
      <c r="C321" s="125" t="s">
        <v>197</v>
      </c>
      <c r="D321" s="43" t="s">
        <v>406</v>
      </c>
      <c r="E321" s="1"/>
      <c r="F321" s="1"/>
      <c r="G321" s="1"/>
      <c r="H321" s="1"/>
      <c r="I321" s="17">
        <f t="shared" ref="I321:T321" si="522">I311*I315*I318/1000</f>
        <v>16000</v>
      </c>
      <c r="J321" s="17">
        <f t="shared" si="522"/>
        <v>22202.660571428572</v>
      </c>
      <c r="K321" s="17">
        <f t="shared" si="522"/>
        <v>28748.870811648005</v>
      </c>
      <c r="L321" s="17">
        <f t="shared" si="522"/>
        <v>35545.410350912367</v>
      </c>
      <c r="M321" s="17">
        <f t="shared" si="522"/>
        <v>42465.347487541527</v>
      </c>
      <c r="N321" s="17">
        <f t="shared" si="522"/>
        <v>49340.980749249866</v>
      </c>
      <c r="O321" s="17">
        <f t="shared" si="522"/>
        <v>55955.578801969859</v>
      </c>
      <c r="P321" s="17">
        <f t="shared" si="522"/>
        <v>63412.263997583403</v>
      </c>
      <c r="Q321" s="17">
        <f t="shared" si="522"/>
        <v>71814.012568365972</v>
      </c>
      <c r="R321" s="17">
        <f t="shared" si="522"/>
        <v>81275.999676430249</v>
      </c>
      <c r="S321" s="17">
        <f t="shared" si="522"/>
        <v>91927.008116427256</v>
      </c>
      <c r="T321" s="17">
        <f t="shared" si="522"/>
        <v>103910.99633059351</v>
      </c>
    </row>
    <row r="322" spans="3:22" outlineLevel="4" x14ac:dyDescent="0.2">
      <c r="C322" s="124" t="s">
        <v>148</v>
      </c>
      <c r="E322" s="1"/>
      <c r="F322" s="1"/>
      <c r="G322" s="1"/>
      <c r="H322" s="1"/>
      <c r="I322" s="1"/>
      <c r="J322" s="52">
        <f>IFERROR(J321/I321-1,"")</f>
        <v>0.38766628571428585</v>
      </c>
      <c r="K322" s="52">
        <f t="shared" ref="K322:O322" si="523">IFERROR(K321/J321-1,"")</f>
        <v>0.29483900000000007</v>
      </c>
      <c r="L322" s="52">
        <f t="shared" si="523"/>
        <v>0.23641066057142845</v>
      </c>
      <c r="M322" s="52">
        <f t="shared" si="523"/>
        <v>0.19467878041958064</v>
      </c>
      <c r="N322" s="52">
        <f t="shared" si="523"/>
        <v>0.16191162132196157</v>
      </c>
      <c r="O322" s="52">
        <f t="shared" si="523"/>
        <v>0.13405890909090923</v>
      </c>
      <c r="P322" s="52">
        <f t="shared" ref="P322" si="524">IFERROR(P321/O321-1,"")</f>
        <v>0.13326079999999996</v>
      </c>
      <c r="Q322" s="52">
        <f t="shared" ref="Q322" si="525">IFERROR(Q321/P321-1,"")</f>
        <v>0.13249406409937925</v>
      </c>
      <c r="R322" s="52">
        <f t="shared" ref="R322" si="526">IFERROR(R321/Q321-1,"")</f>
        <v>0.1317568364399162</v>
      </c>
      <c r="S322" s="52">
        <f t="shared" ref="S322" si="527">IFERROR(S321/R321-1,"")</f>
        <v>0.1310473999999997</v>
      </c>
      <c r="T322" s="52">
        <f t="shared" ref="T322" si="528">IFERROR(T321/S321-1,"")</f>
        <v>0.13036417109309495</v>
      </c>
    </row>
    <row r="323" spans="3:22" outlineLevel="4" x14ac:dyDescent="0.2">
      <c r="C323" s="124"/>
      <c r="E323" s="1"/>
      <c r="F323" s="1"/>
      <c r="G323" s="1"/>
      <c r="H323" s="1"/>
      <c r="I323" s="1"/>
      <c r="J323" s="1"/>
      <c r="K323" s="1"/>
      <c r="L323" s="1"/>
      <c r="M323" s="1"/>
      <c r="N323" s="1"/>
      <c r="O323" s="1"/>
      <c r="P323" s="1"/>
      <c r="Q323" s="1"/>
      <c r="R323" s="1"/>
      <c r="S323" s="1"/>
      <c r="T323" s="1"/>
    </row>
    <row r="324" spans="3:22" outlineLevel="4" x14ac:dyDescent="0.2">
      <c r="C324" s="124" t="s">
        <v>198</v>
      </c>
      <c r="D324" s="43" t="s">
        <v>135</v>
      </c>
      <c r="E324" s="1"/>
      <c r="F324" s="1"/>
      <c r="G324" s="1"/>
      <c r="H324" s="1"/>
      <c r="I324" s="52">
        <f>I327/I321</f>
        <v>0.16816999999999999</v>
      </c>
      <c r="J324" s="128">
        <f>I324</f>
        <v>0.16816999999999999</v>
      </c>
      <c r="K324" s="128">
        <f t="shared" ref="K324:O324" si="529">J324</f>
        <v>0.16816999999999999</v>
      </c>
      <c r="L324" s="128">
        <f t="shared" si="529"/>
        <v>0.16816999999999999</v>
      </c>
      <c r="M324" s="128">
        <f t="shared" si="529"/>
        <v>0.16816999999999999</v>
      </c>
      <c r="N324" s="128">
        <f t="shared" si="529"/>
        <v>0.16816999999999999</v>
      </c>
      <c r="O324" s="128">
        <f t="shared" si="529"/>
        <v>0.16816999999999999</v>
      </c>
      <c r="P324" s="128">
        <f t="shared" ref="P324" si="530">O324</f>
        <v>0.16816999999999999</v>
      </c>
      <c r="Q324" s="128">
        <f t="shared" ref="Q324" si="531">P324</f>
        <v>0.16816999999999999</v>
      </c>
      <c r="R324" s="128">
        <f t="shared" ref="R324" si="532">Q324</f>
        <v>0.16816999999999999</v>
      </c>
      <c r="S324" s="128">
        <f t="shared" ref="S324" si="533">R324</f>
        <v>0.16816999999999999</v>
      </c>
      <c r="T324" s="128">
        <f t="shared" ref="T324" si="534">S324</f>
        <v>0.16816999999999999</v>
      </c>
      <c r="V324" s="1" t="s">
        <v>778</v>
      </c>
    </row>
    <row r="325" spans="3:22" outlineLevel="4" x14ac:dyDescent="0.2">
      <c r="C325" s="124" t="s">
        <v>148</v>
      </c>
      <c r="E325" s="1"/>
      <c r="F325" s="1"/>
      <c r="G325" s="1"/>
      <c r="H325" s="1"/>
      <c r="I325" s="1"/>
      <c r="J325" s="1"/>
      <c r="K325" s="1"/>
      <c r="L325" s="1"/>
      <c r="M325" s="1"/>
      <c r="N325" s="1"/>
      <c r="O325" s="1"/>
      <c r="P325" s="1"/>
      <c r="Q325" s="1"/>
      <c r="R325" s="1"/>
      <c r="S325" s="1"/>
      <c r="T325" s="1"/>
    </row>
    <row r="326" spans="3:22" outlineLevel="4" x14ac:dyDescent="0.2">
      <c r="C326" s="107"/>
      <c r="E326" s="1"/>
      <c r="F326" s="1"/>
      <c r="G326" s="1"/>
      <c r="H326" s="1"/>
      <c r="I326" s="1"/>
      <c r="J326" s="1"/>
      <c r="K326" s="1"/>
      <c r="L326" s="1"/>
      <c r="M326" s="1"/>
      <c r="N326" s="1"/>
      <c r="O326" s="1"/>
      <c r="P326" s="1"/>
      <c r="Q326" s="1"/>
      <c r="R326" s="1"/>
      <c r="S326" s="1"/>
      <c r="T326" s="1"/>
    </row>
    <row r="327" spans="3:22" s="2" customFormat="1" ht="13.5" outlineLevel="4" thickBot="1" x14ac:dyDescent="0.25">
      <c r="C327" s="129" t="s">
        <v>199</v>
      </c>
      <c r="D327" s="87" t="s">
        <v>406</v>
      </c>
      <c r="E327" s="5"/>
      <c r="F327" s="252">
        <f>F344*F$37</f>
        <v>851.74424427571944</v>
      </c>
      <c r="G327" s="252">
        <f>G344*G$37</f>
        <v>1302.073192716784</v>
      </c>
      <c r="H327" s="252">
        <f>H344*H$37</f>
        <v>1899.3720930232557</v>
      </c>
      <c r="I327" s="252">
        <f>I344*I$37</f>
        <v>2690.72</v>
      </c>
      <c r="J327" s="25">
        <f t="shared" ref="J327:T327" si="535">J321*J324</f>
        <v>3733.8214282971426</v>
      </c>
      <c r="K327" s="25">
        <f t="shared" si="535"/>
        <v>4834.6976043948443</v>
      </c>
      <c r="L327" s="25">
        <f t="shared" si="535"/>
        <v>5977.6716587129322</v>
      </c>
      <c r="M327" s="25">
        <f t="shared" si="535"/>
        <v>7141.3974869798576</v>
      </c>
      <c r="N327" s="25">
        <f t="shared" si="535"/>
        <v>8297.6727326013497</v>
      </c>
      <c r="O327" s="25">
        <f t="shared" si="535"/>
        <v>9410.0496871272699</v>
      </c>
      <c r="P327" s="25">
        <f t="shared" si="535"/>
        <v>10664.0404364736</v>
      </c>
      <c r="Q327" s="25">
        <f t="shared" si="535"/>
        <v>12076.962493622104</v>
      </c>
      <c r="R327" s="25">
        <f t="shared" si="535"/>
        <v>13668.184865585274</v>
      </c>
      <c r="S327" s="25">
        <f t="shared" si="535"/>
        <v>15459.36495493957</v>
      </c>
      <c r="T327" s="25">
        <f t="shared" si="535"/>
        <v>17474.71225291591</v>
      </c>
    </row>
    <row r="328" spans="3:22" ht="13.5" outlineLevel="4" thickTop="1" x14ac:dyDescent="0.2">
      <c r="C328" s="124" t="s">
        <v>148</v>
      </c>
      <c r="E328" s="1"/>
      <c r="F328" s="1"/>
      <c r="G328" s="52">
        <f>IFERROR(G327/F327-1,"")</f>
        <v>0.52871381458409705</v>
      </c>
      <c r="H328" s="52">
        <f>IFERROR(H327/G327-1,"")</f>
        <v>0.458729128014842</v>
      </c>
      <c r="I328" s="52">
        <f>IFERROR(I327/H327-1,"")</f>
        <v>0.41663658736669396</v>
      </c>
      <c r="J328" s="52">
        <f t="shared" ref="J328:O328" si="536">IFERROR(J327/I327-1,"")</f>
        <v>0.38766628571428563</v>
      </c>
      <c r="K328" s="52">
        <f t="shared" si="536"/>
        <v>0.29483900000000007</v>
      </c>
      <c r="L328" s="52">
        <f t="shared" si="536"/>
        <v>0.23641066057142845</v>
      </c>
      <c r="M328" s="52">
        <f t="shared" si="536"/>
        <v>0.19467878041958064</v>
      </c>
      <c r="N328" s="52">
        <f t="shared" si="536"/>
        <v>0.1619116213219618</v>
      </c>
      <c r="O328" s="52">
        <f t="shared" si="536"/>
        <v>0.13405890909090923</v>
      </c>
      <c r="P328" s="52">
        <f t="shared" ref="P328" si="537">IFERROR(P327/O327-1,"")</f>
        <v>0.13326080000000018</v>
      </c>
      <c r="Q328" s="52">
        <f t="shared" ref="Q328" si="538">IFERROR(Q327/P327-1,"")</f>
        <v>0.13249406409937903</v>
      </c>
      <c r="R328" s="52">
        <f t="shared" ref="R328" si="539">IFERROR(R327/Q327-1,"")</f>
        <v>0.1317568364399162</v>
      </c>
      <c r="S328" s="52">
        <f t="shared" ref="S328" si="540">IFERROR(S327/R327-1,"")</f>
        <v>0.1310473999999997</v>
      </c>
      <c r="T328" s="52">
        <f t="shared" ref="T328" si="541">IFERROR(T327/S327-1,"")</f>
        <v>0.13036417109309495</v>
      </c>
    </row>
    <row r="329" spans="3:22" outlineLevel="4" x14ac:dyDescent="0.2">
      <c r="C329" s="124"/>
      <c r="E329" s="1"/>
      <c r="F329" s="1"/>
      <c r="G329" s="52"/>
      <c r="H329" s="52"/>
      <c r="I329" s="178"/>
      <c r="J329" s="581"/>
      <c r="K329" s="178"/>
      <c r="L329" s="178"/>
      <c r="M329" s="178"/>
      <c r="N329" s="178"/>
      <c r="O329" s="178"/>
      <c r="P329" s="178"/>
      <c r="Q329" s="178"/>
      <c r="R329" s="178"/>
      <c r="S329" s="178"/>
      <c r="T329" s="178"/>
    </row>
    <row r="330" spans="3:22" outlineLevel="4" x14ac:dyDescent="0.2">
      <c r="C330" s="124" t="s">
        <v>1072</v>
      </c>
      <c r="E330" s="1"/>
      <c r="F330" s="1"/>
      <c r="G330" s="52"/>
      <c r="H330" s="52"/>
      <c r="I330" s="15">
        <f>I327*I331</f>
        <v>753.40160000000003</v>
      </c>
      <c r="J330" s="15">
        <f>J327*J331</f>
        <v>1045.4699999232</v>
      </c>
      <c r="K330" s="178"/>
      <c r="L330" s="178"/>
      <c r="M330" s="178"/>
      <c r="N330" s="178"/>
      <c r="O330" s="178"/>
      <c r="P330" s="178"/>
      <c r="Q330" s="178"/>
      <c r="R330" s="178"/>
      <c r="S330" s="178"/>
      <c r="T330" s="178"/>
    </row>
    <row r="331" spans="3:22" outlineLevel="4" x14ac:dyDescent="0.2">
      <c r="C331" s="124" t="s">
        <v>154</v>
      </c>
      <c r="E331" s="1"/>
      <c r="F331" s="1"/>
      <c r="G331" s="52"/>
      <c r="H331" s="52"/>
      <c r="I331" s="73">
        <v>0.28000000000000003</v>
      </c>
      <c r="J331" s="128">
        <v>0.28000000000000003</v>
      </c>
      <c r="K331" s="178"/>
      <c r="L331" s="178"/>
      <c r="M331" s="178"/>
      <c r="N331" s="178"/>
      <c r="O331" s="178"/>
      <c r="P331" s="178"/>
      <c r="Q331" s="178"/>
      <c r="R331" s="178"/>
      <c r="S331" s="178"/>
      <c r="T331" s="178"/>
    </row>
    <row r="332" spans="3:22" outlineLevel="4" x14ac:dyDescent="0.2">
      <c r="C332" s="124"/>
      <c r="E332" s="1"/>
      <c r="F332" s="1"/>
      <c r="G332" s="52"/>
      <c r="H332" s="52"/>
      <c r="I332" s="178"/>
      <c r="J332" s="178"/>
      <c r="K332" s="178"/>
      <c r="L332" s="178"/>
      <c r="M332" s="178"/>
      <c r="N332" s="178"/>
      <c r="O332" s="178"/>
      <c r="P332" s="178"/>
      <c r="Q332" s="178"/>
      <c r="R332" s="178"/>
      <c r="S332" s="178"/>
      <c r="T332" s="178"/>
    </row>
    <row r="333" spans="3:22" outlineLevel="4" x14ac:dyDescent="0.2">
      <c r="C333" s="125" t="s">
        <v>465</v>
      </c>
      <c r="D333" s="43" t="s">
        <v>290</v>
      </c>
      <c r="E333" s="1"/>
      <c r="F333" s="1"/>
      <c r="G333" s="52"/>
      <c r="H333" s="178"/>
      <c r="I333" s="15">
        <f t="shared" ref="I333:T333" si="542">I327/(I311/1000)/12</f>
        <v>78.339775124253308</v>
      </c>
      <c r="J333" s="15">
        <f t="shared" si="542"/>
        <v>86.299096276877449</v>
      </c>
      <c r="K333" s="15">
        <f t="shared" si="542"/>
        <v>95.067084458608193</v>
      </c>
      <c r="L333" s="15">
        <f t="shared" si="542"/>
        <v>104.72590023960278</v>
      </c>
      <c r="M333" s="15">
        <f t="shared" si="542"/>
        <v>115.36605170394644</v>
      </c>
      <c r="N333" s="15">
        <f t="shared" si="542"/>
        <v>127.08724255706746</v>
      </c>
      <c r="O333" s="15">
        <f t="shared" si="542"/>
        <v>139.99930640086549</v>
      </c>
      <c r="P333" s="15">
        <f t="shared" si="542"/>
        <v>154.22323593119347</v>
      </c>
      <c r="Q333" s="15">
        <f t="shared" si="542"/>
        <v>169.89231670180274</v>
      </c>
      <c r="R333" s="15">
        <f t="shared" si="542"/>
        <v>187.15337607870586</v>
      </c>
      <c r="S333" s="15">
        <f t="shared" si="542"/>
        <v>206.16815908830245</v>
      </c>
      <c r="T333" s="15">
        <f t="shared" si="542"/>
        <v>227.11484405167394</v>
      </c>
    </row>
    <row r="334" spans="3:22" outlineLevel="4" x14ac:dyDescent="0.2">
      <c r="C334" s="124" t="s">
        <v>148</v>
      </c>
      <c r="E334" s="1"/>
      <c r="F334" s="1"/>
      <c r="G334" s="52"/>
      <c r="H334" s="52"/>
      <c r="I334" s="52" t="str">
        <f>IFERROR(I333/H333-1,"")</f>
        <v/>
      </c>
      <c r="J334" s="52">
        <f t="shared" ref="J334" si="543">IFERROR(J333/I333-1,"")</f>
        <v>0.10160000000000013</v>
      </c>
      <c r="K334" s="52">
        <f t="shared" ref="K334" si="544">IFERROR(K333/J333-1,"")</f>
        <v>0.10159999999999991</v>
      </c>
      <c r="L334" s="52">
        <f t="shared" ref="L334" si="545">IFERROR(L333/K333-1,"")</f>
        <v>0.10159999999999991</v>
      </c>
      <c r="M334" s="52">
        <f t="shared" ref="M334" si="546">IFERROR(M333/L333-1,"")</f>
        <v>0.10160000000000013</v>
      </c>
      <c r="N334" s="52">
        <f t="shared" ref="N334" si="547">IFERROR(N333/M333-1,"")</f>
        <v>0.10160000000000058</v>
      </c>
      <c r="O334" s="52">
        <f t="shared" ref="O334" si="548">IFERROR(O333/N333-1,"")</f>
        <v>0.10159999999999991</v>
      </c>
      <c r="P334" s="52">
        <f t="shared" ref="P334" si="549">IFERROR(P333/O333-1,"")</f>
        <v>0.10160000000000036</v>
      </c>
      <c r="Q334" s="52">
        <f t="shared" ref="Q334" si="550">IFERROR(Q333/P333-1,"")</f>
        <v>0.10160000000000013</v>
      </c>
      <c r="R334" s="52">
        <f t="shared" ref="R334" si="551">IFERROR(R333/Q333-1,"")</f>
        <v>0.10159999999999969</v>
      </c>
      <c r="S334" s="52">
        <f t="shared" ref="S334" si="552">IFERROR(S333/R333-1,"")</f>
        <v>0.10160000000000036</v>
      </c>
      <c r="T334" s="52">
        <f t="shared" ref="T334" si="553">IFERROR(T333/S333-1,"")</f>
        <v>0.10159999999999991</v>
      </c>
    </row>
    <row r="335" spans="3:22" outlineLevel="4" x14ac:dyDescent="0.2">
      <c r="C335" s="124"/>
      <c r="E335" s="1"/>
      <c r="F335" s="1"/>
      <c r="G335" s="52"/>
      <c r="H335" s="52"/>
      <c r="I335" s="52"/>
      <c r="J335" s="52"/>
      <c r="K335" s="52"/>
      <c r="L335" s="52"/>
      <c r="M335" s="52"/>
      <c r="N335" s="52"/>
      <c r="O335" s="52"/>
      <c r="P335" s="52"/>
      <c r="Q335" s="52"/>
      <c r="R335" s="52"/>
      <c r="S335" s="52"/>
      <c r="T335" s="15"/>
    </row>
    <row r="336" spans="3:22" outlineLevel="4" x14ac:dyDescent="0.2">
      <c r="C336" s="338" t="s">
        <v>466</v>
      </c>
      <c r="E336" s="1"/>
      <c r="F336" s="1"/>
      <c r="G336" s="52"/>
      <c r="H336" s="52"/>
      <c r="I336" s="178"/>
      <c r="J336" s="52"/>
      <c r="K336" s="52"/>
      <c r="L336" s="52"/>
      <c r="M336" s="52"/>
      <c r="N336" s="52"/>
      <c r="O336" s="52"/>
      <c r="P336" s="52"/>
      <c r="Q336" s="52"/>
      <c r="R336" s="52"/>
      <c r="S336" s="52"/>
      <c r="T336" s="178"/>
    </row>
    <row r="337" spans="1:20" outlineLevel="4" x14ac:dyDescent="0.2">
      <c r="C337" s="124"/>
      <c r="E337" s="1"/>
      <c r="F337" s="1"/>
      <c r="G337" s="52"/>
      <c r="H337" s="52"/>
      <c r="I337" s="52"/>
      <c r="J337" s="52"/>
      <c r="K337" s="52"/>
      <c r="L337" s="52"/>
      <c r="M337" s="52"/>
      <c r="N337" s="52"/>
      <c r="O337" s="52"/>
      <c r="P337" s="52"/>
      <c r="Q337" s="52"/>
      <c r="R337" s="52"/>
      <c r="S337" s="52"/>
      <c r="T337" s="52"/>
    </row>
    <row r="338" spans="1:20" outlineLevel="4" x14ac:dyDescent="0.2">
      <c r="C338" s="125" t="s">
        <v>465</v>
      </c>
      <c r="D338" s="43" t="s">
        <v>109</v>
      </c>
      <c r="E338" s="1"/>
      <c r="F338" s="1"/>
      <c r="G338" s="52"/>
      <c r="H338" s="52"/>
      <c r="I338" s="178">
        <f>I333/I$37</f>
        <v>1.9506916116596942</v>
      </c>
      <c r="J338" s="178">
        <f t="shared" ref="J338:T338" si="554">J333/J$37</f>
        <v>2.0629266042281462</v>
      </c>
      <c r="K338" s="178">
        <f t="shared" si="554"/>
        <v>2.1816191493290167</v>
      </c>
      <c r="L338" s="178">
        <f t="shared" si="554"/>
        <v>2.3071407887048108</v>
      </c>
      <c r="M338" s="178">
        <f t="shared" si="554"/>
        <v>2.4398844411237315</v>
      </c>
      <c r="N338" s="178">
        <f t="shared" si="554"/>
        <v>2.5802656323282274</v>
      </c>
      <c r="O338" s="178">
        <f t="shared" si="554"/>
        <v>2.7287237957498638</v>
      </c>
      <c r="P338" s="178">
        <f t="shared" si="554"/>
        <v>2.8857236480621289</v>
      </c>
      <c r="Q338" s="178">
        <f t="shared" si="554"/>
        <v>3.0517566438770318</v>
      </c>
      <c r="R338" s="178">
        <f t="shared" si="554"/>
        <v>3.2273425141391399</v>
      </c>
      <c r="S338" s="178">
        <f t="shared" si="554"/>
        <v>3.4130308930326509</v>
      </c>
      <c r="T338" s="178">
        <f t="shared" si="554"/>
        <v>3.6094030384941767</v>
      </c>
    </row>
    <row r="339" spans="1:20" outlineLevel="4" x14ac:dyDescent="0.2">
      <c r="C339" s="124" t="s">
        <v>148</v>
      </c>
      <c r="E339" s="1"/>
      <c r="F339" s="1"/>
      <c r="G339" s="52"/>
      <c r="H339" s="52"/>
      <c r="I339" s="52" t="str">
        <f>IFERROR(I338/H338-1,"")</f>
        <v/>
      </c>
      <c r="J339" s="52">
        <f t="shared" ref="J339" si="555">IFERROR(J338/I338-1,"")</f>
        <v>5.7536000000000032E-2</v>
      </c>
      <c r="K339" s="52">
        <f t="shared" ref="K339" si="556">IFERROR(K338/J338-1,"")</f>
        <v>5.7536000000000032E-2</v>
      </c>
      <c r="L339" s="52">
        <f t="shared" ref="L339" si="557">IFERROR(L338/K338-1,"")</f>
        <v>5.753599999999981E-2</v>
      </c>
      <c r="M339" s="52">
        <f t="shared" ref="M339" si="558">IFERROR(M338/L338-1,"")</f>
        <v>5.7536000000000254E-2</v>
      </c>
      <c r="N339" s="52">
        <f t="shared" ref="N339" si="559">IFERROR(N338/M338-1,"")</f>
        <v>5.7536000000000254E-2</v>
      </c>
      <c r="O339" s="52">
        <f t="shared" ref="O339" si="560">IFERROR(O338/N338-1,"")</f>
        <v>5.753599999999981E-2</v>
      </c>
      <c r="P339" s="52">
        <f t="shared" ref="P339" si="561">IFERROR(P338/O338-1,"")</f>
        <v>5.7536000000000254E-2</v>
      </c>
      <c r="Q339" s="52">
        <f t="shared" ref="Q339" si="562">IFERROR(Q338/P338-1,"")</f>
        <v>5.7536000000000032E-2</v>
      </c>
      <c r="R339" s="52">
        <f t="shared" ref="R339" si="563">IFERROR(R338/Q338-1,"")</f>
        <v>5.753599999999981E-2</v>
      </c>
      <c r="S339" s="52">
        <f t="shared" ref="S339" si="564">IFERROR(S338/R338-1,"")</f>
        <v>5.7536000000000476E-2</v>
      </c>
      <c r="T339" s="52">
        <f t="shared" ref="T339" si="565">IFERROR(T338/S338-1,"")</f>
        <v>5.753599999999981E-2</v>
      </c>
    </row>
    <row r="340" spans="1:20" outlineLevel="4" x14ac:dyDescent="0.2">
      <c r="C340" s="124"/>
      <c r="E340" s="1"/>
      <c r="F340" s="1"/>
      <c r="G340" s="52"/>
      <c r="H340" s="52"/>
      <c r="I340" s="52"/>
      <c r="J340" s="52"/>
      <c r="K340" s="52"/>
      <c r="L340" s="52"/>
      <c r="M340" s="52"/>
      <c r="N340" s="52"/>
      <c r="O340" s="52"/>
      <c r="P340" s="52"/>
      <c r="Q340" s="52"/>
      <c r="R340" s="52"/>
      <c r="S340" s="52"/>
      <c r="T340" s="52"/>
    </row>
    <row r="341" spans="1:20" outlineLevel="4" x14ac:dyDescent="0.2">
      <c r="C341" s="124" t="s">
        <v>196</v>
      </c>
      <c r="D341" s="43" t="s">
        <v>109</v>
      </c>
      <c r="E341" s="1"/>
      <c r="F341" s="1"/>
      <c r="G341" s="1"/>
      <c r="H341" s="1"/>
      <c r="I341" s="283">
        <f t="shared" ref="I341:T341" si="566">I318/I$37</f>
        <v>3.9840637450199208</v>
      </c>
      <c r="J341" s="283">
        <f t="shared" si="566"/>
        <v>4.1306772908366538</v>
      </c>
      <c r="K341" s="283">
        <f t="shared" si="566"/>
        <v>4.2826862151394431</v>
      </c>
      <c r="L341" s="283">
        <f t="shared" si="566"/>
        <v>4.4402890678565745</v>
      </c>
      <c r="M341" s="283">
        <f t="shared" si="566"/>
        <v>4.6036917055536968</v>
      </c>
      <c r="N341" s="283">
        <f t="shared" si="566"/>
        <v>4.7731075603180733</v>
      </c>
      <c r="O341" s="283">
        <f t="shared" si="566"/>
        <v>4.9487579185377788</v>
      </c>
      <c r="P341" s="283">
        <f t="shared" si="566"/>
        <v>5.1308722099399695</v>
      </c>
      <c r="Q341" s="283">
        <f t="shared" si="566"/>
        <v>5.3196883072657615</v>
      </c>
      <c r="R341" s="283">
        <f t="shared" si="566"/>
        <v>5.5154528369731413</v>
      </c>
      <c r="S341" s="283">
        <f t="shared" si="566"/>
        <v>5.7184215013737534</v>
      </c>
      <c r="T341" s="283">
        <f t="shared" si="566"/>
        <v>5.9288594126243073</v>
      </c>
    </row>
    <row r="342" spans="1:20" outlineLevel="4" x14ac:dyDescent="0.2">
      <c r="C342" s="124" t="s">
        <v>148</v>
      </c>
      <c r="E342" s="1"/>
      <c r="F342" s="1"/>
      <c r="G342" s="1"/>
      <c r="H342" s="1"/>
      <c r="I342" s="52"/>
      <c r="J342" s="52">
        <f t="shared" ref="J342" si="567">IFERROR(J341/I341-1,"")</f>
        <v>3.6799999999999944E-2</v>
      </c>
      <c r="K342" s="52">
        <f t="shared" ref="K342" si="568">IFERROR(K341/J341-1,"")</f>
        <v>3.6800000000000166E-2</v>
      </c>
      <c r="L342" s="52">
        <f t="shared" ref="L342" si="569">IFERROR(L341/K341-1,"")</f>
        <v>3.6799999999999944E-2</v>
      </c>
      <c r="M342" s="52">
        <f t="shared" ref="M342" si="570">IFERROR(M341/L341-1,"")</f>
        <v>3.6800000000000166E-2</v>
      </c>
      <c r="N342" s="52">
        <f t="shared" ref="N342" si="571">IFERROR(N341/M341-1,"")</f>
        <v>3.6800000000000166E-2</v>
      </c>
      <c r="O342" s="52">
        <f t="shared" ref="O342" si="572">IFERROR(O341/N341-1,"")</f>
        <v>3.6800000000000166E-2</v>
      </c>
      <c r="P342" s="52">
        <f t="shared" ref="P342" si="573">IFERROR(P341/O341-1,"")</f>
        <v>3.6800000000000166E-2</v>
      </c>
      <c r="Q342" s="52">
        <f t="shared" ref="Q342" si="574">IFERROR(Q341/P341-1,"")</f>
        <v>3.6800000000000166E-2</v>
      </c>
      <c r="R342" s="52">
        <f t="shared" ref="R342" si="575">IFERROR(R341/Q341-1,"")</f>
        <v>3.6799999999999944E-2</v>
      </c>
      <c r="S342" s="52">
        <f t="shared" ref="S342" si="576">IFERROR(S341/R341-1,"")</f>
        <v>3.6800000000000166E-2</v>
      </c>
      <c r="T342" s="52">
        <f t="shared" ref="T342" si="577">IFERROR(T341/S341-1,"")</f>
        <v>3.6799999999999944E-2</v>
      </c>
    </row>
    <row r="343" spans="1:20" outlineLevel="4" x14ac:dyDescent="0.2">
      <c r="C343" s="124"/>
      <c r="E343" s="1"/>
      <c r="F343" s="1"/>
      <c r="G343" s="1"/>
      <c r="H343" s="1"/>
      <c r="I343" s="52"/>
      <c r="J343" s="52"/>
      <c r="K343" s="52"/>
      <c r="L343" s="52"/>
      <c r="M343" s="52"/>
      <c r="N343" s="52"/>
      <c r="O343" s="52"/>
      <c r="P343" s="52"/>
      <c r="Q343" s="52"/>
      <c r="R343" s="52"/>
      <c r="S343" s="52"/>
      <c r="T343" s="52"/>
    </row>
    <row r="344" spans="1:20" ht="13.5" outlineLevel="4" thickBot="1" x14ac:dyDescent="0.25">
      <c r="C344" s="129" t="s">
        <v>199</v>
      </c>
      <c r="D344" s="87" t="s">
        <v>295</v>
      </c>
      <c r="E344" s="55"/>
      <c r="F344" s="132">
        <f>G344/(1.29)</f>
        <v>31.210855415013537</v>
      </c>
      <c r="G344" s="132">
        <f>H344/(1.29)</f>
        <v>40.262003485367465</v>
      </c>
      <c r="H344" s="132">
        <f>I344/(1.29)</f>
        <v>51.937984496124031</v>
      </c>
      <c r="I344" s="251">
        <v>67</v>
      </c>
      <c r="J344" s="25">
        <f t="shared" ref="J344:T344" si="578">J327/J$37</f>
        <v>89.254695497142862</v>
      </c>
      <c r="K344" s="25">
        <f t="shared" si="578"/>
        <v>110.94764223631198</v>
      </c>
      <c r="L344" s="25">
        <f t="shared" si="578"/>
        <v>131.68977372119136</v>
      </c>
      <c r="M344" s="25">
        <f t="shared" si="578"/>
        <v>151.0338991324449</v>
      </c>
      <c r="N344" s="25">
        <f t="shared" si="578"/>
        <v>168.46852091093442</v>
      </c>
      <c r="O344" s="25">
        <f t="shared" si="578"/>
        <v>183.41109795879677</v>
      </c>
      <c r="P344" s="25">
        <f t="shared" si="578"/>
        <v>199.53850329759783</v>
      </c>
      <c r="Q344" s="25">
        <f t="shared" si="578"/>
        <v>216.93712372205175</v>
      </c>
      <c r="R344" s="25">
        <f t="shared" si="578"/>
        <v>235.69926993604221</v>
      </c>
      <c r="S344" s="25">
        <f t="shared" si="578"/>
        <v>255.92356458533635</v>
      </c>
      <c r="T344" s="25">
        <f t="shared" si="578"/>
        <v>277.71535482786612</v>
      </c>
    </row>
    <row r="345" spans="1:20" ht="13.5" outlineLevel="4" thickTop="1" x14ac:dyDescent="0.2">
      <c r="C345" s="124" t="s">
        <v>148</v>
      </c>
      <c r="E345" s="1"/>
      <c r="F345" s="1"/>
      <c r="G345" s="52">
        <f>IFERROR(G344/F344-1,"")</f>
        <v>0.29000000000000004</v>
      </c>
      <c r="H345" s="52">
        <f>IFERROR(H344/G344-1,"")</f>
        <v>0.29000000000000004</v>
      </c>
      <c r="I345" s="52">
        <f>IFERROR(I344/H344-1,"")</f>
        <v>0.29000000000000004</v>
      </c>
      <c r="J345" s="52">
        <f t="shared" ref="J345" si="579">IFERROR(J344/I344-1,"")</f>
        <v>0.33215963428571427</v>
      </c>
      <c r="K345" s="52">
        <f t="shared" ref="K345" si="580">IFERROR(K344/J344-1,"")</f>
        <v>0.24304544000000017</v>
      </c>
      <c r="L345" s="52">
        <f t="shared" ref="L345" si="581">IFERROR(L344/K344-1,"")</f>
        <v>0.18695423414857126</v>
      </c>
      <c r="M345" s="52">
        <f t="shared" ref="M345" si="582">IFERROR(M344/L344-1,"")</f>
        <v>0.14689162920279752</v>
      </c>
      <c r="N345" s="52">
        <f t="shared" ref="N345" si="583">IFERROR(N344/M344-1,"")</f>
        <v>0.1154351564690832</v>
      </c>
      <c r="O345" s="52">
        <f t="shared" ref="O345" si="584">IFERROR(O344/N344-1,"")</f>
        <v>8.8696552727272726E-2</v>
      </c>
      <c r="P345" s="52">
        <f t="shared" ref="P345" si="585">IFERROR(P344/O344-1,"")</f>
        <v>8.7930368000000092E-2</v>
      </c>
      <c r="Q345" s="52">
        <f t="shared" ref="Q345" si="586">IFERROR(Q344/P344-1,"")</f>
        <v>8.7194301535403973E-2</v>
      </c>
      <c r="R345" s="52">
        <f t="shared" ref="R345" si="587">IFERROR(R344/Q344-1,"")</f>
        <v>8.6486562982319493E-2</v>
      </c>
      <c r="S345" s="52">
        <f t="shared" ref="S345" si="588">IFERROR(S344/R344-1,"")</f>
        <v>8.5805503999999866E-2</v>
      </c>
      <c r="T345" s="52">
        <f t="shared" ref="T345" si="589">IFERROR(T344/S344-1,"")</f>
        <v>8.5149604249371125E-2</v>
      </c>
    </row>
    <row r="346" spans="1:20" outlineLevel="3" x14ac:dyDescent="0.2">
      <c r="E346" s="1"/>
      <c r="F346" s="1"/>
      <c r="G346" s="1"/>
      <c r="H346" s="1"/>
      <c r="I346" s="1"/>
      <c r="J346" s="1"/>
      <c r="K346" s="1"/>
      <c r="L346" s="1"/>
      <c r="M346" s="1"/>
      <c r="N346" s="1"/>
      <c r="O346" s="1"/>
      <c r="P346" s="1"/>
      <c r="Q346" s="1"/>
      <c r="R346" s="1"/>
      <c r="S346" s="1"/>
      <c r="T346" s="1"/>
    </row>
    <row r="347" spans="1:20" outlineLevel="3" x14ac:dyDescent="0.2">
      <c r="E347" s="1"/>
      <c r="F347" s="1"/>
      <c r="G347" s="1"/>
      <c r="H347" s="1"/>
      <c r="I347" s="1"/>
      <c r="J347" s="1"/>
      <c r="K347" s="1"/>
      <c r="L347" s="1"/>
      <c r="M347" s="1"/>
      <c r="N347" s="1"/>
      <c r="O347" s="1"/>
      <c r="P347" s="1"/>
      <c r="Q347" s="1"/>
      <c r="R347" s="1"/>
      <c r="S347" s="1"/>
      <c r="T347" s="1"/>
    </row>
    <row r="348" spans="1:20" outlineLevel="3" x14ac:dyDescent="0.2">
      <c r="E348" s="1"/>
      <c r="F348" s="1"/>
      <c r="G348" s="1"/>
      <c r="H348" s="1"/>
      <c r="I348" s="1"/>
      <c r="J348" s="1"/>
      <c r="K348" s="1"/>
      <c r="L348" s="1"/>
      <c r="M348" s="1"/>
      <c r="N348" s="1"/>
      <c r="O348" s="1"/>
      <c r="P348" s="1"/>
      <c r="Q348" s="1"/>
      <c r="R348" s="1"/>
      <c r="S348" s="1"/>
      <c r="T348" s="1"/>
    </row>
    <row r="349" spans="1:20" outlineLevel="3" x14ac:dyDescent="0.2">
      <c r="A349" s="1" t="s">
        <v>22</v>
      </c>
      <c r="B349" s="75" t="s">
        <v>126</v>
      </c>
      <c r="C349" s="76"/>
      <c r="D349" s="77"/>
      <c r="E349" s="76"/>
      <c r="F349" s="76"/>
      <c r="G349" s="76"/>
      <c r="H349" s="76"/>
      <c r="I349" s="76"/>
      <c r="J349" s="76"/>
      <c r="K349" s="76"/>
      <c r="L349" s="76"/>
      <c r="M349" s="76"/>
      <c r="N349" s="76"/>
      <c r="O349" s="76"/>
      <c r="P349" s="76"/>
      <c r="Q349" s="76"/>
      <c r="R349" s="76"/>
      <c r="S349" s="76"/>
      <c r="T349" s="76"/>
    </row>
    <row r="350" spans="1:20" outlineLevel="4" x14ac:dyDescent="0.2">
      <c r="E350" s="1"/>
      <c r="F350" s="1"/>
      <c r="G350" s="1"/>
      <c r="H350" s="1"/>
      <c r="I350" s="1"/>
      <c r="J350" s="52">
        <f>I353-1%</f>
        <v>-0.11881392818280739</v>
      </c>
      <c r="K350" s="52">
        <f>J350-0.75%</f>
        <v>-0.1263139281828074</v>
      </c>
      <c r="L350" s="52">
        <f t="shared" ref="L350" si="590">K350-0.75%</f>
        <v>-0.13381392818280741</v>
      </c>
      <c r="M350" s="52">
        <f>L350-0.5%</f>
        <v>-0.13881392818280741</v>
      </c>
      <c r="N350" s="52">
        <f>M350-0.3%</f>
        <v>-0.14181392818280741</v>
      </c>
      <c r="O350" s="52">
        <f>N350-0.2%</f>
        <v>-0.14381392818280742</v>
      </c>
      <c r="P350" s="52">
        <f>O350</f>
        <v>-0.14381392818280742</v>
      </c>
      <c r="Q350" s="52">
        <f t="shared" ref="Q350:T350" si="591">P350</f>
        <v>-0.14381392818280742</v>
      </c>
      <c r="R350" s="52">
        <f t="shared" si="591"/>
        <v>-0.14381392818280742</v>
      </c>
      <c r="S350" s="52">
        <f t="shared" si="591"/>
        <v>-0.14381392818280742</v>
      </c>
      <c r="T350" s="52">
        <f t="shared" si="591"/>
        <v>-0.14381392818280742</v>
      </c>
    </row>
    <row r="351" spans="1:20" outlineLevel="4" x14ac:dyDescent="0.2">
      <c r="B351" s="2" t="s">
        <v>206</v>
      </c>
      <c r="E351" s="1"/>
      <c r="F351" s="1"/>
      <c r="G351" s="1"/>
      <c r="H351" s="1"/>
      <c r="I351" s="1"/>
      <c r="J351" s="52">
        <f>I354-1%</f>
        <v>-0.34188248095756257</v>
      </c>
      <c r="K351" s="52">
        <f>J351-0.75%</f>
        <v>-0.34938248095756258</v>
      </c>
      <c r="L351" s="52">
        <f t="shared" ref="L351" si="592">K351-0.75%</f>
        <v>-0.35688248095756259</v>
      </c>
      <c r="M351" s="52">
        <f>L351-0.5%</f>
        <v>-0.36188248095756259</v>
      </c>
      <c r="N351" s="52">
        <f>M351-0.3%</f>
        <v>-0.36488248095756259</v>
      </c>
      <c r="O351" s="52">
        <f>N351-0.2%</f>
        <v>-0.3668824809575626</v>
      </c>
      <c r="P351" s="52">
        <f>O351</f>
        <v>-0.3668824809575626</v>
      </c>
      <c r="Q351" s="52">
        <f t="shared" ref="Q351:T351" si="593">P351</f>
        <v>-0.3668824809575626</v>
      </c>
      <c r="R351" s="52">
        <f t="shared" si="593"/>
        <v>-0.3668824809575626</v>
      </c>
      <c r="S351" s="52">
        <f t="shared" si="593"/>
        <v>-0.3668824809575626</v>
      </c>
      <c r="T351" s="52">
        <f t="shared" si="593"/>
        <v>-0.3668824809575626</v>
      </c>
    </row>
    <row r="352" spans="1:20" outlineLevel="4" x14ac:dyDescent="0.2">
      <c r="C352" s="1" t="s">
        <v>3</v>
      </c>
      <c r="E352" s="1"/>
      <c r="F352" s="1"/>
      <c r="G352" s="1"/>
      <c r="H352" s="52">
        <f t="shared" ref="H352:I354" si="594">H635/H$604</f>
        <v>1.092896174863388E-3</v>
      </c>
      <c r="I352" s="52">
        <f t="shared" si="594"/>
        <v>1.088139281828074E-3</v>
      </c>
      <c r="J352" s="141">
        <f t="shared" ref="J352:T352" si="595">J14</f>
        <v>1.088139281828074E-3</v>
      </c>
      <c r="K352" s="141">
        <f t="shared" si="595"/>
        <v>1.088139281828074E-3</v>
      </c>
      <c r="L352" s="141">
        <f t="shared" si="595"/>
        <v>1.088139281828074E-3</v>
      </c>
      <c r="M352" s="141">
        <f t="shared" si="595"/>
        <v>1.088139281828074E-3</v>
      </c>
      <c r="N352" s="141">
        <f t="shared" si="595"/>
        <v>1.088139281828074E-3</v>
      </c>
      <c r="O352" s="141">
        <f t="shared" si="595"/>
        <v>1.088139281828074E-3</v>
      </c>
      <c r="P352" s="141">
        <f t="shared" si="595"/>
        <v>1.088139281828074E-3</v>
      </c>
      <c r="Q352" s="141">
        <f t="shared" si="595"/>
        <v>1.088139281828074E-3</v>
      </c>
      <c r="R352" s="141">
        <f t="shared" si="595"/>
        <v>1.088139281828074E-3</v>
      </c>
      <c r="S352" s="141">
        <f t="shared" si="595"/>
        <v>1.088139281828074E-3</v>
      </c>
      <c r="T352" s="141">
        <f t="shared" si="595"/>
        <v>1.088139281828074E-3</v>
      </c>
    </row>
    <row r="353" spans="1:20" outlineLevel="4" x14ac:dyDescent="0.2">
      <c r="C353" s="1" t="s">
        <v>4</v>
      </c>
      <c r="E353" s="1"/>
      <c r="F353" s="1"/>
      <c r="G353" s="1"/>
      <c r="H353" s="52">
        <f t="shared" si="594"/>
        <v>-0.10273224043715846</v>
      </c>
      <c r="I353" s="52">
        <f t="shared" si="594"/>
        <v>-0.1088139281828074</v>
      </c>
      <c r="J353" s="141">
        <f t="shared" ref="J353:T353" si="596">J15</f>
        <v>-0.12881392818280701</v>
      </c>
      <c r="K353" s="141">
        <f t="shared" si="596"/>
        <v>-0.13631392818280702</v>
      </c>
      <c r="L353" s="141">
        <f t="shared" si="596"/>
        <v>-0.14381392818280703</v>
      </c>
      <c r="M353" s="141">
        <f t="shared" si="596"/>
        <v>-0.14881392818280703</v>
      </c>
      <c r="N353" s="141">
        <f t="shared" si="596"/>
        <v>-0.15181392818280703</v>
      </c>
      <c r="O353" s="141">
        <f t="shared" si="596"/>
        <v>-0.15381392818280704</v>
      </c>
      <c r="P353" s="141">
        <f t="shared" si="596"/>
        <v>-0.15381392818280704</v>
      </c>
      <c r="Q353" s="141">
        <f t="shared" si="596"/>
        <v>-0.15381392818280704</v>
      </c>
      <c r="R353" s="141">
        <f t="shared" si="596"/>
        <v>-0.15381392818280704</v>
      </c>
      <c r="S353" s="141">
        <f t="shared" si="596"/>
        <v>-0.15381392818280704</v>
      </c>
      <c r="T353" s="141">
        <f t="shared" si="596"/>
        <v>-0.15381392818280704</v>
      </c>
    </row>
    <row r="354" spans="1:20" outlineLevel="4" x14ac:dyDescent="0.2">
      <c r="C354" s="1" t="s">
        <v>5</v>
      </c>
      <c r="E354" s="1"/>
      <c r="F354" s="1"/>
      <c r="G354" s="1"/>
      <c r="H354" s="52">
        <f t="shared" si="594"/>
        <v>-0.31038251366120218</v>
      </c>
      <c r="I354" s="52">
        <f t="shared" si="594"/>
        <v>-0.33188248095756256</v>
      </c>
      <c r="J354" s="141">
        <f t="shared" ref="J354:T354" si="597">J16</f>
        <v>-0.34188248095756302</v>
      </c>
      <c r="K354" s="141">
        <f t="shared" si="597"/>
        <v>-0.34938248095756302</v>
      </c>
      <c r="L354" s="141">
        <f t="shared" si="597"/>
        <v>-0.35688248095756303</v>
      </c>
      <c r="M354" s="141">
        <f t="shared" si="597"/>
        <v>-0.36188248095756304</v>
      </c>
      <c r="N354" s="141">
        <f t="shared" si="597"/>
        <v>-0.36488248095756304</v>
      </c>
      <c r="O354" s="141">
        <f t="shared" si="597"/>
        <v>-0.36688248095756304</v>
      </c>
      <c r="P354" s="141">
        <f t="shared" si="597"/>
        <v>-0.36688248095756304</v>
      </c>
      <c r="Q354" s="141">
        <f t="shared" si="597"/>
        <v>-0.36688248095756304</v>
      </c>
      <c r="R354" s="141">
        <f t="shared" si="597"/>
        <v>-0.36688248095756304</v>
      </c>
      <c r="S354" s="141">
        <f t="shared" si="597"/>
        <v>-0.36688248095756304</v>
      </c>
      <c r="T354" s="141">
        <f t="shared" si="597"/>
        <v>-0.36688248095756304</v>
      </c>
    </row>
    <row r="355" spans="1:20" outlineLevel="4" x14ac:dyDescent="0.2">
      <c r="E355" s="1"/>
      <c r="F355" s="1"/>
      <c r="G355" s="1"/>
      <c r="H355" s="1"/>
      <c r="I355" s="40">
        <f>SUM(I352:I354)</f>
        <v>-0.4396082698585419</v>
      </c>
      <c r="J355" s="40">
        <f>SUM(J352:J354)</f>
        <v>-0.46960826985854198</v>
      </c>
      <c r="K355" s="40">
        <f t="shared" ref="K355:T355" si="598">SUM(K352:K354)</f>
        <v>-0.484608269858542</v>
      </c>
      <c r="L355" s="40">
        <f t="shared" si="598"/>
        <v>-0.49960826985854201</v>
      </c>
      <c r="M355" s="40">
        <f t="shared" si="598"/>
        <v>-0.50960826985854202</v>
      </c>
      <c r="N355" s="40">
        <f t="shared" si="598"/>
        <v>-0.51560826985854202</v>
      </c>
      <c r="O355" s="40">
        <f t="shared" si="598"/>
        <v>-0.51960826985854203</v>
      </c>
      <c r="P355" s="40">
        <f t="shared" si="598"/>
        <v>-0.51960826985854203</v>
      </c>
      <c r="Q355" s="40">
        <f t="shared" si="598"/>
        <v>-0.51960826985854203</v>
      </c>
      <c r="R355" s="40">
        <f t="shared" si="598"/>
        <v>-0.51960826985854203</v>
      </c>
      <c r="S355" s="40">
        <f t="shared" si="598"/>
        <v>-0.51960826985854203</v>
      </c>
      <c r="T355" s="40">
        <f t="shared" si="598"/>
        <v>-0.51960826985854203</v>
      </c>
    </row>
    <row r="356" spans="1:20" outlineLevel="4" x14ac:dyDescent="0.2">
      <c r="C356" s="1" t="s">
        <v>6</v>
      </c>
      <c r="E356" s="1"/>
      <c r="F356" s="1"/>
      <c r="G356" s="1"/>
      <c r="H356" s="52">
        <f>H643/H$604</f>
        <v>-0.13879781420765028</v>
      </c>
      <c r="I356" s="52">
        <f>I643/I$604</f>
        <v>-0.12840043525571274</v>
      </c>
      <c r="J356" s="1"/>
      <c r="K356" s="1"/>
      <c r="L356" s="1"/>
      <c r="M356" s="1"/>
      <c r="N356" s="1"/>
      <c r="O356" s="1"/>
      <c r="P356" s="1"/>
      <c r="Q356" s="1"/>
      <c r="R356" s="1"/>
      <c r="S356" s="1"/>
      <c r="T356" s="1"/>
    </row>
    <row r="357" spans="1:20" outlineLevel="4" x14ac:dyDescent="0.2">
      <c r="C357" s="1" t="s">
        <v>7</v>
      </c>
      <c r="E357" s="1"/>
      <c r="F357" s="1"/>
      <c r="G357" s="1"/>
      <c r="H357" s="52">
        <f>H644/H$604</f>
        <v>-5.3551912568306013E-2</v>
      </c>
      <c r="I357" s="52">
        <f>I644/I$604</f>
        <v>-4.896626768226333E-2</v>
      </c>
      <c r="J357" s="1"/>
      <c r="K357" s="1"/>
      <c r="L357" s="1"/>
      <c r="M357" s="1"/>
      <c r="N357" s="1"/>
      <c r="O357" s="1"/>
      <c r="P357" s="1"/>
      <c r="Q357" s="1"/>
      <c r="R357" s="1"/>
      <c r="S357" s="1"/>
      <c r="T357" s="1"/>
    </row>
    <row r="358" spans="1:20" outlineLevel="4" x14ac:dyDescent="0.2">
      <c r="C358" s="1" t="s">
        <v>8</v>
      </c>
      <c r="E358" s="1"/>
      <c r="F358" s="1"/>
      <c r="G358" s="1"/>
      <c r="H358" s="52">
        <f>H648/H$604</f>
        <v>-1.092896174863388E-3</v>
      </c>
      <c r="I358" s="52">
        <f>I648/I$604</f>
        <v>-3.2644178454842221E-3</v>
      </c>
      <c r="J358" s="141">
        <f t="shared" ref="J358:O358" si="599">I358</f>
        <v>-3.2644178454842221E-3</v>
      </c>
      <c r="K358" s="141">
        <f t="shared" si="599"/>
        <v>-3.2644178454842221E-3</v>
      </c>
      <c r="L358" s="141">
        <f t="shared" si="599"/>
        <v>-3.2644178454842221E-3</v>
      </c>
      <c r="M358" s="141">
        <f t="shared" si="599"/>
        <v>-3.2644178454842221E-3</v>
      </c>
      <c r="N358" s="141">
        <f t="shared" si="599"/>
        <v>-3.2644178454842221E-3</v>
      </c>
      <c r="O358" s="141">
        <f t="shared" si="599"/>
        <v>-3.2644178454842221E-3</v>
      </c>
      <c r="P358" s="141">
        <f t="shared" ref="P358:P359" si="600">O358</f>
        <v>-3.2644178454842221E-3</v>
      </c>
      <c r="Q358" s="141">
        <f t="shared" ref="Q358:Q359" si="601">P358</f>
        <v>-3.2644178454842221E-3</v>
      </c>
      <c r="R358" s="141">
        <f t="shared" ref="R358:R359" si="602">Q358</f>
        <v>-3.2644178454842221E-3</v>
      </c>
      <c r="S358" s="141">
        <f t="shared" ref="S358:S359" si="603">R358</f>
        <v>-3.2644178454842221E-3</v>
      </c>
      <c r="T358" s="141">
        <f t="shared" ref="T358:T359" si="604">S358</f>
        <v>-3.2644178454842221E-3</v>
      </c>
    </row>
    <row r="359" spans="1:20" outlineLevel="4" x14ac:dyDescent="0.2">
      <c r="C359" s="1" t="s">
        <v>9</v>
      </c>
      <c r="E359" s="1"/>
      <c r="F359" s="1"/>
      <c r="G359" s="1"/>
      <c r="H359" s="52">
        <f>H649/H$604</f>
        <v>2.185792349726776E-3</v>
      </c>
      <c r="I359" s="52">
        <f>I649/I$604</f>
        <v>-1.088139281828074E-3</v>
      </c>
      <c r="J359" s="141">
        <f t="shared" ref="J359:O359" si="605">I359</f>
        <v>-1.088139281828074E-3</v>
      </c>
      <c r="K359" s="141">
        <f t="shared" si="605"/>
        <v>-1.088139281828074E-3</v>
      </c>
      <c r="L359" s="141">
        <f t="shared" si="605"/>
        <v>-1.088139281828074E-3</v>
      </c>
      <c r="M359" s="141">
        <f t="shared" si="605"/>
        <v>-1.088139281828074E-3</v>
      </c>
      <c r="N359" s="141">
        <f t="shared" si="605"/>
        <v>-1.088139281828074E-3</v>
      </c>
      <c r="O359" s="141">
        <f t="shared" si="605"/>
        <v>-1.088139281828074E-3</v>
      </c>
      <c r="P359" s="141">
        <f t="shared" si="600"/>
        <v>-1.088139281828074E-3</v>
      </c>
      <c r="Q359" s="141">
        <f t="shared" si="601"/>
        <v>-1.088139281828074E-3</v>
      </c>
      <c r="R359" s="141">
        <f t="shared" si="602"/>
        <v>-1.088139281828074E-3</v>
      </c>
      <c r="S359" s="141">
        <f t="shared" si="603"/>
        <v>-1.088139281828074E-3</v>
      </c>
      <c r="T359" s="141">
        <f t="shared" si="604"/>
        <v>-1.088139281828074E-3</v>
      </c>
    </row>
    <row r="360" spans="1:20" outlineLevel="4" x14ac:dyDescent="0.2">
      <c r="E360" s="1"/>
      <c r="F360" s="1"/>
      <c r="G360" s="1"/>
      <c r="H360" s="1"/>
      <c r="I360" s="1"/>
      <c r="J360" s="1"/>
      <c r="K360" s="1"/>
      <c r="L360" s="1"/>
      <c r="M360" s="1"/>
      <c r="N360" s="1"/>
      <c r="O360" s="1"/>
      <c r="P360" s="1"/>
      <c r="Q360" s="1"/>
      <c r="R360" s="1"/>
      <c r="S360" s="1"/>
      <c r="T360" s="1"/>
    </row>
    <row r="361" spans="1:20" outlineLevel="4" x14ac:dyDescent="0.2">
      <c r="C361" s="1" t="s">
        <v>13</v>
      </c>
      <c r="E361" s="1"/>
      <c r="F361" s="1"/>
      <c r="G361" s="1"/>
      <c r="H361" s="52">
        <f>H656/H$604</f>
        <v>-8.7431693989071038E-3</v>
      </c>
      <c r="I361" s="52">
        <f>I656/I$604</f>
        <v>2.176278563656148E-3</v>
      </c>
      <c r="J361" s="73">
        <v>0</v>
      </c>
      <c r="K361" s="73">
        <v>0</v>
      </c>
      <c r="L361" s="73">
        <v>0</v>
      </c>
      <c r="M361" s="73">
        <v>0</v>
      </c>
      <c r="N361" s="73">
        <v>0</v>
      </c>
      <c r="O361" s="73">
        <v>0</v>
      </c>
      <c r="P361" s="73">
        <v>0</v>
      </c>
      <c r="Q361" s="73">
        <v>0</v>
      </c>
      <c r="R361" s="73">
        <v>0</v>
      </c>
      <c r="S361" s="73">
        <v>0</v>
      </c>
      <c r="T361" s="73">
        <v>0</v>
      </c>
    </row>
    <row r="362" spans="1:20" outlineLevel="4" x14ac:dyDescent="0.2">
      <c r="C362" s="1" t="s">
        <v>14</v>
      </c>
      <c r="E362" s="1"/>
      <c r="F362" s="1"/>
      <c r="G362" s="1"/>
      <c r="H362" s="52">
        <f>H657/H$604</f>
        <v>4.1530054644808745E-2</v>
      </c>
      <c r="I362" s="52">
        <f>I657/I$604</f>
        <v>4.2437431991294884E-2</v>
      </c>
      <c r="J362" s="141">
        <v>0.03</v>
      </c>
      <c r="K362" s="141">
        <f t="shared" ref="K362:N362" si="606">J362</f>
        <v>0.03</v>
      </c>
      <c r="L362" s="141">
        <f t="shared" si="606"/>
        <v>0.03</v>
      </c>
      <c r="M362" s="141">
        <f t="shared" si="606"/>
        <v>0.03</v>
      </c>
      <c r="N362" s="141">
        <f t="shared" si="606"/>
        <v>0.03</v>
      </c>
      <c r="O362" s="141">
        <v>0.02</v>
      </c>
      <c r="P362" s="141">
        <f t="shared" ref="P362" si="607">O362</f>
        <v>0.02</v>
      </c>
      <c r="Q362" s="141">
        <f t="shared" ref="Q362" si="608">P362</f>
        <v>0.02</v>
      </c>
      <c r="R362" s="141">
        <f t="shared" ref="R362" si="609">Q362</f>
        <v>0.02</v>
      </c>
      <c r="S362" s="141">
        <f t="shared" ref="S362" si="610">R362</f>
        <v>0.02</v>
      </c>
      <c r="T362" s="141">
        <f t="shared" ref="T362" si="611">S362</f>
        <v>0.02</v>
      </c>
    </row>
    <row r="363" spans="1:20" outlineLevel="4" x14ac:dyDescent="0.2">
      <c r="E363" s="1"/>
      <c r="F363" s="1"/>
      <c r="G363" s="1"/>
      <c r="H363" s="1"/>
      <c r="I363" s="1"/>
      <c r="J363" s="1"/>
      <c r="K363" s="1"/>
      <c r="L363" s="1"/>
      <c r="M363" s="1"/>
      <c r="N363" s="1"/>
      <c r="O363" s="1"/>
      <c r="P363" s="1"/>
      <c r="Q363" s="1"/>
      <c r="R363" s="1"/>
      <c r="S363" s="1"/>
      <c r="T363" s="1"/>
    </row>
    <row r="364" spans="1:20" outlineLevel="4" x14ac:dyDescent="0.2">
      <c r="B364" s="2" t="s">
        <v>224</v>
      </c>
      <c r="E364" s="1"/>
      <c r="F364" s="1"/>
      <c r="G364" s="1"/>
      <c r="H364" s="52">
        <f>-H660/H659</f>
        <v>0.18786127167630057</v>
      </c>
      <c r="I364" s="52">
        <f>-I660/I659</f>
        <v>0.18443804034582131</v>
      </c>
      <c r="J364" s="141">
        <f t="shared" ref="J364:O364" si="612">I364</f>
        <v>0.18443804034582131</v>
      </c>
      <c r="K364" s="141">
        <f t="shared" si="612"/>
        <v>0.18443804034582131</v>
      </c>
      <c r="L364" s="141">
        <f t="shared" si="612"/>
        <v>0.18443804034582131</v>
      </c>
      <c r="M364" s="141">
        <f t="shared" si="612"/>
        <v>0.18443804034582131</v>
      </c>
      <c r="N364" s="141">
        <f t="shared" si="612"/>
        <v>0.18443804034582131</v>
      </c>
      <c r="O364" s="141">
        <f t="shared" si="612"/>
        <v>0.18443804034582131</v>
      </c>
      <c r="P364" s="141">
        <f t="shared" ref="P364" si="613">O364</f>
        <v>0.18443804034582131</v>
      </c>
      <c r="Q364" s="141">
        <f t="shared" ref="Q364" si="614">P364</f>
        <v>0.18443804034582131</v>
      </c>
      <c r="R364" s="141">
        <f t="shared" ref="R364" si="615">Q364</f>
        <v>0.18443804034582131</v>
      </c>
      <c r="S364" s="141">
        <f t="shared" ref="S364" si="616">R364</f>
        <v>0.18443804034582131</v>
      </c>
      <c r="T364" s="141">
        <f t="shared" ref="T364" si="617">S364</f>
        <v>0.18443804034582131</v>
      </c>
    </row>
    <row r="365" spans="1:20" outlineLevel="3" x14ac:dyDescent="0.2">
      <c r="E365" s="1"/>
      <c r="F365" s="1"/>
      <c r="G365" s="1"/>
      <c r="H365" s="1"/>
      <c r="I365" s="1"/>
      <c r="J365" s="1"/>
      <c r="K365" s="1"/>
      <c r="L365" s="1"/>
      <c r="M365" s="1"/>
      <c r="N365" s="1"/>
      <c r="O365" s="1"/>
      <c r="P365" s="1"/>
      <c r="Q365" s="1"/>
      <c r="R365" s="1"/>
      <c r="S365" s="1"/>
      <c r="T365" s="1"/>
    </row>
    <row r="366" spans="1:20" outlineLevel="3" x14ac:dyDescent="0.2">
      <c r="A366" s="1" t="s">
        <v>22</v>
      </c>
      <c r="B366" s="75" t="s">
        <v>207</v>
      </c>
      <c r="C366" s="76"/>
      <c r="D366" s="77"/>
      <c r="E366" s="76"/>
      <c r="F366" s="76"/>
      <c r="G366" s="76"/>
      <c r="H366" s="76"/>
      <c r="I366" s="76"/>
      <c r="J366" s="76"/>
      <c r="K366" s="76"/>
      <c r="L366" s="76"/>
      <c r="M366" s="76"/>
      <c r="N366" s="76"/>
      <c r="O366" s="76"/>
      <c r="P366" s="76"/>
      <c r="Q366" s="76"/>
      <c r="R366" s="76"/>
      <c r="S366" s="76"/>
      <c r="T366" s="76"/>
    </row>
    <row r="367" spans="1:20" outlineLevel="4" x14ac:dyDescent="0.2">
      <c r="E367" s="1"/>
      <c r="F367" s="1"/>
      <c r="G367" s="1"/>
      <c r="H367" s="1"/>
      <c r="I367" s="1"/>
      <c r="J367" s="1"/>
      <c r="K367" s="1"/>
      <c r="L367" s="1"/>
      <c r="M367" s="1"/>
      <c r="N367" s="1"/>
      <c r="O367" s="1"/>
      <c r="P367" s="1"/>
      <c r="Q367" s="1"/>
      <c r="R367" s="1"/>
      <c r="S367" s="1"/>
      <c r="T367" s="1"/>
    </row>
    <row r="368" spans="1:20" outlineLevel="4" x14ac:dyDescent="0.2">
      <c r="B368" s="37" t="s">
        <v>1041</v>
      </c>
      <c r="C368" s="6"/>
      <c r="E368" s="1"/>
      <c r="F368" s="1"/>
      <c r="G368" s="1"/>
      <c r="H368" s="1"/>
      <c r="I368" s="1"/>
      <c r="J368" s="1"/>
      <c r="K368" s="1"/>
      <c r="L368" s="1"/>
      <c r="M368" s="1"/>
      <c r="N368" s="1"/>
      <c r="O368" s="1"/>
      <c r="P368" s="1"/>
      <c r="Q368" s="1"/>
      <c r="R368" s="1"/>
      <c r="S368" s="1"/>
      <c r="T368" s="1"/>
    </row>
    <row r="369" spans="2:20" outlineLevel="4" x14ac:dyDescent="0.2">
      <c r="B369" s="2" t="s">
        <v>41</v>
      </c>
      <c r="E369" s="1"/>
      <c r="F369" s="1"/>
      <c r="G369" s="1"/>
      <c r="H369" s="1"/>
      <c r="I369" s="1"/>
      <c r="J369" s="1"/>
      <c r="K369" s="1"/>
      <c r="L369" s="1"/>
      <c r="M369" s="1"/>
      <c r="N369" s="1"/>
      <c r="O369" s="1"/>
      <c r="P369" s="1"/>
      <c r="Q369" s="1"/>
      <c r="R369" s="1"/>
      <c r="S369" s="1"/>
      <c r="T369" s="1"/>
    </row>
    <row r="370" spans="2:20" outlineLevel="4" x14ac:dyDescent="0.2">
      <c r="B370" s="2"/>
      <c r="C370" s="1" t="s">
        <v>106</v>
      </c>
      <c r="E370" s="1"/>
      <c r="F370" s="1"/>
      <c r="G370" s="1"/>
      <c r="H370" s="1"/>
      <c r="I370" s="1"/>
      <c r="J370" s="164">
        <f>518-712</f>
        <v>-194</v>
      </c>
      <c r="K370" s="1"/>
      <c r="L370" s="1"/>
      <c r="M370" s="1"/>
      <c r="N370" s="1"/>
      <c r="O370" s="1"/>
      <c r="P370" s="1"/>
      <c r="Q370" s="1"/>
      <c r="R370" s="1"/>
      <c r="S370" s="1"/>
      <c r="T370" s="1"/>
    </row>
    <row r="371" spans="2:20" outlineLevel="4" x14ac:dyDescent="0.2">
      <c r="B371" s="2"/>
      <c r="C371" s="1" t="s">
        <v>1019</v>
      </c>
      <c r="E371" s="1"/>
      <c r="F371" s="1"/>
      <c r="G371" s="1"/>
      <c r="H371" s="1"/>
      <c r="I371" s="1"/>
      <c r="J371" s="164">
        <v>-330</v>
      </c>
      <c r="K371" s="1"/>
      <c r="L371" s="1"/>
      <c r="M371" s="1"/>
      <c r="N371" s="1"/>
      <c r="O371" s="1"/>
      <c r="P371" s="1"/>
      <c r="Q371" s="1"/>
      <c r="R371" s="1"/>
      <c r="S371" s="1"/>
      <c r="T371" s="1"/>
    </row>
    <row r="372" spans="2:20" outlineLevel="4" x14ac:dyDescent="0.2">
      <c r="B372" s="2"/>
      <c r="C372" s="1" t="s">
        <v>592</v>
      </c>
      <c r="E372" s="1"/>
      <c r="F372" s="1"/>
      <c r="G372" s="1"/>
      <c r="H372" s="1"/>
      <c r="I372" s="1"/>
      <c r="J372" s="164">
        <v>-32</v>
      </c>
      <c r="K372" s="1"/>
      <c r="L372" s="1"/>
      <c r="M372" s="1"/>
      <c r="N372" s="1"/>
      <c r="O372" s="1"/>
      <c r="P372" s="1"/>
      <c r="Q372" s="1"/>
      <c r="R372" s="1"/>
      <c r="S372" s="1"/>
      <c r="T372" s="1"/>
    </row>
    <row r="373" spans="2:20" outlineLevel="4" x14ac:dyDescent="0.2">
      <c r="B373" s="2"/>
      <c r="E373" s="1"/>
      <c r="F373" s="1"/>
      <c r="G373" s="1"/>
      <c r="H373" s="1"/>
      <c r="I373" s="1"/>
      <c r="J373" s="17">
        <f>SUM(J370:J372)</f>
        <v>-556</v>
      </c>
      <c r="K373" s="1"/>
      <c r="L373" s="1"/>
      <c r="M373" s="1"/>
      <c r="N373" s="1"/>
      <c r="O373" s="1"/>
      <c r="P373" s="1"/>
      <c r="Q373" s="1"/>
      <c r="R373" s="1"/>
      <c r="S373" s="1"/>
      <c r="T373" s="1"/>
    </row>
    <row r="374" spans="2:20" outlineLevel="4" x14ac:dyDescent="0.2">
      <c r="B374" s="2" t="s">
        <v>249</v>
      </c>
      <c r="E374" s="1"/>
      <c r="F374" s="1"/>
      <c r="G374" s="1"/>
      <c r="H374" s="1"/>
      <c r="I374" s="1"/>
      <c r="J374" s="13"/>
      <c r="K374" s="1"/>
      <c r="L374" s="1"/>
      <c r="M374" s="1"/>
      <c r="N374" s="1"/>
      <c r="O374" s="1"/>
      <c r="P374" s="1"/>
      <c r="Q374" s="1"/>
      <c r="R374" s="1"/>
      <c r="S374" s="1"/>
      <c r="T374" s="1"/>
    </row>
    <row r="375" spans="2:20" outlineLevel="4" x14ac:dyDescent="0.2">
      <c r="B375" s="2"/>
      <c r="C375" s="1" t="s">
        <v>219</v>
      </c>
      <c r="E375" s="1"/>
      <c r="F375" s="1"/>
      <c r="G375" s="1"/>
      <c r="H375" s="1"/>
      <c r="I375" s="1"/>
      <c r="J375" s="164">
        <f>265-252</f>
        <v>13</v>
      </c>
      <c r="K375" s="1"/>
      <c r="L375" s="1"/>
      <c r="M375" s="1"/>
      <c r="N375" s="1"/>
      <c r="O375" s="1"/>
      <c r="P375" s="1"/>
      <c r="Q375" s="1"/>
      <c r="R375" s="1"/>
      <c r="S375" s="1"/>
      <c r="T375" s="1"/>
    </row>
    <row r="376" spans="2:20" outlineLevel="4" x14ac:dyDescent="0.2">
      <c r="B376" s="2"/>
      <c r="C376" s="1" t="s">
        <v>220</v>
      </c>
      <c r="E376" s="1"/>
      <c r="F376" s="1"/>
      <c r="G376" s="1"/>
      <c r="H376" s="1"/>
      <c r="I376" s="1"/>
      <c r="J376" s="164">
        <v>-578</v>
      </c>
      <c r="K376" s="1"/>
      <c r="L376" s="1"/>
      <c r="M376" s="1"/>
      <c r="N376" s="1"/>
      <c r="O376" s="1"/>
      <c r="P376" s="1"/>
      <c r="Q376" s="1"/>
      <c r="R376" s="1"/>
      <c r="S376" s="1"/>
      <c r="T376" s="1"/>
    </row>
    <row r="377" spans="2:20" outlineLevel="4" x14ac:dyDescent="0.2">
      <c r="B377" s="2"/>
      <c r="E377" s="1"/>
      <c r="F377" s="1"/>
      <c r="G377" s="1"/>
      <c r="H377" s="1"/>
      <c r="I377" s="1"/>
      <c r="J377" s="17">
        <f>SUM(J375:J376)</f>
        <v>-565</v>
      </c>
      <c r="K377" s="1"/>
      <c r="L377" s="1"/>
      <c r="M377" s="1"/>
      <c r="N377" s="1"/>
      <c r="O377" s="1"/>
      <c r="P377" s="1"/>
      <c r="Q377" s="1"/>
      <c r="R377" s="1"/>
      <c r="S377" s="1"/>
      <c r="T377" s="1"/>
    </row>
    <row r="378" spans="2:20" outlineLevel="4" x14ac:dyDescent="0.2">
      <c r="B378" s="2"/>
      <c r="E378" s="1"/>
      <c r="F378" s="1"/>
      <c r="G378" s="1"/>
      <c r="H378" s="1"/>
      <c r="I378" s="1"/>
      <c r="J378" s="17"/>
      <c r="K378" s="1"/>
      <c r="L378" s="1"/>
      <c r="M378" s="1"/>
      <c r="N378" s="1"/>
      <c r="O378" s="1"/>
      <c r="P378" s="1"/>
      <c r="Q378" s="1"/>
      <c r="R378" s="1"/>
      <c r="S378" s="1"/>
      <c r="T378" s="1"/>
    </row>
    <row r="379" spans="2:20" outlineLevel="4" x14ac:dyDescent="0.2">
      <c r="B379" s="2" t="s">
        <v>367</v>
      </c>
      <c r="E379" s="1"/>
      <c r="F379" s="1"/>
      <c r="G379" s="1"/>
      <c r="H379" s="1"/>
      <c r="I379" s="1"/>
      <c r="J379" s="24">
        <v>9</v>
      </c>
      <c r="K379" s="1"/>
      <c r="L379" s="1"/>
      <c r="M379" s="1"/>
      <c r="N379" s="1"/>
      <c r="O379" s="1"/>
      <c r="P379" s="1"/>
      <c r="Q379" s="1"/>
      <c r="R379" s="1"/>
      <c r="S379" s="1"/>
      <c r="T379" s="1"/>
    </row>
    <row r="380" spans="2:20" outlineLevel="4" x14ac:dyDescent="0.2">
      <c r="E380" s="1"/>
      <c r="F380" s="1"/>
      <c r="G380" s="1"/>
      <c r="H380" s="1"/>
      <c r="I380" s="1"/>
      <c r="J380" s="13"/>
      <c r="K380" s="1"/>
      <c r="L380" s="1"/>
      <c r="M380" s="1"/>
      <c r="N380" s="1"/>
      <c r="O380" s="1"/>
      <c r="P380" s="1"/>
      <c r="Q380" s="1"/>
      <c r="R380" s="1"/>
      <c r="S380" s="1"/>
      <c r="T380" s="1"/>
    </row>
    <row r="381" spans="2:20" outlineLevel="4" x14ac:dyDescent="0.2">
      <c r="B381" s="559" t="s">
        <v>102</v>
      </c>
      <c r="C381" s="7"/>
      <c r="D381" s="539"/>
      <c r="E381" s="7"/>
      <c r="F381" s="7"/>
      <c r="G381" s="7"/>
      <c r="H381" s="7"/>
      <c r="I381" s="7"/>
      <c r="J381" s="560">
        <f>J377+J379-J373</f>
        <v>0</v>
      </c>
      <c r="K381" s="1"/>
      <c r="L381" s="1"/>
      <c r="M381" s="1"/>
      <c r="N381" s="1"/>
      <c r="O381" s="1"/>
      <c r="P381" s="1"/>
      <c r="Q381" s="1"/>
      <c r="R381" s="1"/>
      <c r="S381" s="1"/>
      <c r="T381" s="1"/>
    </row>
    <row r="382" spans="2:20" outlineLevel="4" x14ac:dyDescent="0.2">
      <c r="B382" s="2"/>
      <c r="E382" s="1"/>
      <c r="F382" s="1"/>
      <c r="G382" s="1"/>
      <c r="H382" s="1"/>
      <c r="I382" s="1"/>
      <c r="J382" s="17"/>
      <c r="K382" s="1"/>
      <c r="L382" s="1"/>
      <c r="M382" s="1"/>
      <c r="N382" s="1"/>
      <c r="O382" s="1"/>
      <c r="P382" s="1"/>
      <c r="Q382" s="1"/>
      <c r="R382" s="1"/>
      <c r="S382" s="1"/>
      <c r="T382" s="1"/>
    </row>
    <row r="383" spans="2:20" outlineLevel="4" x14ac:dyDescent="0.2">
      <c r="E383" s="1"/>
      <c r="F383" s="1"/>
      <c r="G383" s="1"/>
      <c r="H383" s="1"/>
      <c r="I383" s="1"/>
      <c r="J383" s="2" t="s">
        <v>1037</v>
      </c>
      <c r="K383" s="1"/>
      <c r="L383" s="1"/>
      <c r="M383" s="1"/>
      <c r="N383" s="1"/>
      <c r="O383" s="1"/>
      <c r="P383" s="1"/>
      <c r="Q383" s="1"/>
      <c r="R383" s="1"/>
      <c r="S383" s="1"/>
      <c r="T383" s="1"/>
    </row>
    <row r="384" spans="2:20" outlineLevel="4" x14ac:dyDescent="0.2">
      <c r="B384" s="37" t="s">
        <v>1040</v>
      </c>
      <c r="C384" s="6"/>
      <c r="E384" s="1"/>
      <c r="F384" s="1"/>
      <c r="G384" s="1"/>
      <c r="H384" s="1"/>
      <c r="J384" s="146">
        <v>0</v>
      </c>
      <c r="K384" s="146">
        <v>0.5</v>
      </c>
      <c r="L384" s="146">
        <v>1</v>
      </c>
      <c r="M384" s="41">
        <v>0.254</v>
      </c>
      <c r="N384" s="1"/>
      <c r="O384" s="1"/>
      <c r="P384" s="1"/>
      <c r="Q384" s="1"/>
      <c r="R384" s="1"/>
      <c r="S384" s="1"/>
      <c r="T384" s="1"/>
    </row>
    <row r="385" spans="2:20" outlineLevel="4" x14ac:dyDescent="0.2">
      <c r="B385" s="84" t="s">
        <v>1034</v>
      </c>
      <c r="E385" s="1"/>
      <c r="F385" s="1"/>
      <c r="G385" s="1"/>
      <c r="H385" s="1"/>
      <c r="I385" s="1"/>
      <c r="J385" s="86">
        <f>Summary!$D$9</f>
        <v>13.07</v>
      </c>
      <c r="K385" s="86">
        <f>Summary!$D$9</f>
        <v>13.07</v>
      </c>
      <c r="L385" s="86">
        <f>Summary!$D$9</f>
        <v>13.07</v>
      </c>
      <c r="M385" s="86">
        <f>Summary!$D$9</f>
        <v>13.07</v>
      </c>
      <c r="N385" s="1"/>
      <c r="O385" s="1"/>
      <c r="P385" s="1"/>
      <c r="Q385" s="1"/>
      <c r="R385" s="1"/>
      <c r="S385" s="1"/>
      <c r="T385" s="1"/>
    </row>
    <row r="386" spans="2:20" outlineLevel="4" x14ac:dyDescent="0.2">
      <c r="B386" s="84" t="s">
        <v>1035</v>
      </c>
      <c r="D386" s="43" t="s">
        <v>145</v>
      </c>
      <c r="E386" s="1"/>
      <c r="F386" s="1"/>
      <c r="G386" s="1"/>
      <c r="H386" s="1"/>
      <c r="I386" s="1"/>
      <c r="J386" s="455">
        <v>28.0275</v>
      </c>
      <c r="K386" s="455">
        <v>16.5275</v>
      </c>
      <c r="L386" s="455">
        <v>9.8584180000000003</v>
      </c>
      <c r="M386" s="149">
        <f>23*(1-M384)</f>
        <v>17.158000000000001</v>
      </c>
      <c r="N386" s="1"/>
      <c r="O386" s="1"/>
      <c r="P386" s="1"/>
      <c r="Q386" s="1"/>
      <c r="R386" s="1"/>
      <c r="S386" s="1"/>
      <c r="T386" s="1"/>
    </row>
    <row r="387" spans="2:20" s="2" customFormat="1" outlineLevel="4" x14ac:dyDescent="0.2">
      <c r="B387" s="63" t="s">
        <v>1036</v>
      </c>
      <c r="C387" s="4"/>
      <c r="D387" s="45"/>
      <c r="E387" s="4"/>
      <c r="F387" s="4"/>
      <c r="G387" s="4"/>
      <c r="H387" s="4"/>
      <c r="I387" s="4"/>
      <c r="J387" s="562">
        <f>J385*J386</f>
        <v>366.31942500000002</v>
      </c>
      <c r="K387" s="562">
        <f t="shared" ref="K387:L387" si="618">K385*K386</f>
        <v>216.01442500000002</v>
      </c>
      <c r="L387" s="562">
        <f t="shared" si="618"/>
        <v>128.84952326000001</v>
      </c>
      <c r="M387" s="580">
        <v>178.4</v>
      </c>
      <c r="N387" s="4"/>
      <c r="O387" s="4"/>
      <c r="P387" s="4"/>
      <c r="Q387" s="4"/>
      <c r="R387" s="4"/>
      <c r="S387" s="4"/>
      <c r="T387" s="4"/>
    </row>
    <row r="388" spans="2:20" s="2" customFormat="1" outlineLevel="4" x14ac:dyDescent="0.2">
      <c r="B388" s="84" t="s">
        <v>1038</v>
      </c>
      <c r="D388" s="44"/>
      <c r="J388" s="563">
        <v>-40</v>
      </c>
      <c r="K388" s="563">
        <v>-40</v>
      </c>
      <c r="L388" s="563">
        <v>-40</v>
      </c>
      <c r="M388" s="563">
        <v>-40</v>
      </c>
    </row>
    <row r="389" spans="2:20" s="2" customFormat="1" outlineLevel="4" x14ac:dyDescent="0.2">
      <c r="B389" s="63" t="s">
        <v>1039</v>
      </c>
      <c r="C389" s="4"/>
      <c r="D389" s="45"/>
      <c r="E389" s="4"/>
      <c r="F389" s="4"/>
      <c r="G389" s="4"/>
      <c r="H389" s="4"/>
      <c r="I389" s="4"/>
      <c r="J389" s="562">
        <f>SUM(J387:J388)</f>
        <v>326.31942500000002</v>
      </c>
      <c r="K389" s="562">
        <f t="shared" ref="K389:L389" si="619">SUM(K387:K388)</f>
        <v>176.01442500000002</v>
      </c>
      <c r="L389" s="562">
        <f t="shared" si="619"/>
        <v>88.849523260000012</v>
      </c>
      <c r="M389" s="562">
        <f t="shared" ref="M389" si="620">SUM(M387:M388)</f>
        <v>138.4</v>
      </c>
      <c r="N389" s="4"/>
      <c r="O389" s="4"/>
      <c r="P389" s="4"/>
      <c r="Q389" s="4"/>
      <c r="R389" s="4"/>
      <c r="S389" s="4"/>
      <c r="T389" s="4"/>
    </row>
    <row r="390" spans="2:20" outlineLevel="4" x14ac:dyDescent="0.2">
      <c r="E390" s="1"/>
      <c r="F390" s="1"/>
      <c r="G390" s="1"/>
      <c r="H390" s="1"/>
      <c r="I390" s="1"/>
      <c r="J390" s="145"/>
      <c r="K390" s="1"/>
      <c r="L390" s="1"/>
      <c r="M390" s="1"/>
      <c r="N390" s="1"/>
      <c r="O390" s="1"/>
      <c r="P390" s="1"/>
      <c r="Q390" s="1"/>
      <c r="R390" s="1"/>
      <c r="S390" s="1"/>
      <c r="T390" s="1"/>
    </row>
    <row r="391" spans="2:20" outlineLevel="4" x14ac:dyDescent="0.2">
      <c r="B391" s="37" t="s">
        <v>35</v>
      </c>
      <c r="C391" s="37"/>
      <c r="E391" s="1"/>
      <c r="F391" s="1"/>
      <c r="G391" s="1"/>
      <c r="H391" s="1"/>
      <c r="I391" s="1"/>
      <c r="J391" s="1"/>
      <c r="K391" s="1"/>
      <c r="L391" s="1"/>
      <c r="M391" s="1"/>
      <c r="N391" s="1"/>
      <c r="O391" s="1"/>
      <c r="P391" s="1"/>
      <c r="Q391" s="1"/>
      <c r="R391" s="1"/>
      <c r="S391" s="1"/>
      <c r="T391" s="1"/>
    </row>
    <row r="392" spans="2:20" outlineLevel="4" x14ac:dyDescent="0.2">
      <c r="B392" s="2"/>
      <c r="C392" s="1" t="s">
        <v>36</v>
      </c>
      <c r="D392" s="43" t="s">
        <v>295</v>
      </c>
      <c r="E392" s="13"/>
      <c r="F392" s="13"/>
      <c r="G392" s="13"/>
      <c r="H392" s="70">
        <f>Inputs!H58</f>
        <v>207</v>
      </c>
      <c r="I392" s="70">
        <f>Inputs!I58</f>
        <v>237</v>
      </c>
      <c r="J392" s="13">
        <f>J408</f>
        <v>258.13473115283819</v>
      </c>
      <c r="K392" s="13">
        <f t="shared" ref="K392:O392" si="621">K408</f>
        <v>274.82709443655023</v>
      </c>
      <c r="L392" s="13">
        <f t="shared" si="621"/>
        <v>290.02855016308274</v>
      </c>
      <c r="M392" s="13">
        <f t="shared" si="621"/>
        <v>296.88917494952693</v>
      </c>
      <c r="N392" s="13">
        <f t="shared" si="621"/>
        <v>298.19144529070701</v>
      </c>
      <c r="O392" s="13">
        <f t="shared" si="621"/>
        <v>298.83168151226545</v>
      </c>
      <c r="P392" s="13">
        <f t="shared" ref="P392:T392" si="622">P408</f>
        <v>298.74369625149654</v>
      </c>
      <c r="Q392" s="13">
        <f t="shared" si="622"/>
        <v>297.85740589688294</v>
      </c>
      <c r="R392" s="13">
        <f t="shared" si="622"/>
        <v>295.97197835682294</v>
      </c>
      <c r="S392" s="13">
        <f t="shared" si="622"/>
        <v>310.25301637900503</v>
      </c>
      <c r="T392" s="13">
        <f t="shared" si="622"/>
        <v>325.16735734398168</v>
      </c>
    </row>
    <row r="393" spans="2:20" outlineLevel="4" x14ac:dyDescent="0.2">
      <c r="C393" s="1" t="s">
        <v>37</v>
      </c>
      <c r="D393" s="43" t="s">
        <v>295</v>
      </c>
      <c r="E393" s="13"/>
      <c r="F393" s="13"/>
      <c r="G393" s="13"/>
      <c r="H393" s="70">
        <f>Inputs!H59</f>
        <v>50</v>
      </c>
      <c r="I393" s="70">
        <f>Inputs!I59</f>
        <v>94</v>
      </c>
      <c r="J393" s="13">
        <f>J414</f>
        <v>61.952335476681164</v>
      </c>
      <c r="K393" s="13">
        <f t="shared" ref="K393:O393" si="623">K414</f>
        <v>67.30459455588985</v>
      </c>
      <c r="L393" s="13">
        <f t="shared" si="623"/>
        <v>72.507137540770685</v>
      </c>
      <c r="M393" s="13">
        <f t="shared" si="623"/>
        <v>77.449349986833113</v>
      </c>
      <c r="N393" s="13">
        <f t="shared" si="623"/>
        <v>81.324939624738263</v>
      </c>
      <c r="O393" s="13">
        <f t="shared" si="623"/>
        <v>85.380480432075842</v>
      </c>
      <c r="P393" s="13">
        <f t="shared" ref="P393:T393" si="624">P414</f>
        <v>89.623108875448949</v>
      </c>
      <c r="Q393" s="13">
        <f t="shared" si="624"/>
        <v>94.060233441120928</v>
      </c>
      <c r="R393" s="13">
        <f t="shared" si="624"/>
        <v>98.657326118940986</v>
      </c>
      <c r="S393" s="13">
        <f t="shared" si="624"/>
        <v>103.41767212633502</v>
      </c>
      <c r="T393" s="13">
        <f t="shared" si="624"/>
        <v>108.38911911466056</v>
      </c>
    </row>
    <row r="394" spans="2:20" outlineLevel="4" x14ac:dyDescent="0.2">
      <c r="C394" s="1" t="s">
        <v>38</v>
      </c>
      <c r="D394" s="43" t="s">
        <v>295</v>
      </c>
      <c r="E394" s="13"/>
      <c r="F394" s="13"/>
      <c r="G394" s="13"/>
      <c r="H394" s="70">
        <f>-Inputs!H60</f>
        <v>0</v>
      </c>
      <c r="I394" s="70">
        <f>-Inputs!I60</f>
        <v>-35</v>
      </c>
      <c r="J394" s="13"/>
      <c r="K394" s="13"/>
      <c r="L394" s="13"/>
      <c r="M394" s="13"/>
      <c r="N394" s="13"/>
      <c r="O394" s="13"/>
      <c r="P394" s="13"/>
      <c r="Q394" s="13"/>
      <c r="R394" s="13"/>
      <c r="S394" s="13"/>
      <c r="T394" s="13"/>
    </row>
    <row r="395" spans="2:20" outlineLevel="4" x14ac:dyDescent="0.2">
      <c r="C395" s="1" t="s">
        <v>39</v>
      </c>
      <c r="D395" s="43" t="s">
        <v>295</v>
      </c>
      <c r="E395" s="13"/>
      <c r="F395" s="13"/>
      <c r="G395" s="13"/>
      <c r="H395" s="70">
        <f>-Inputs!H61</f>
        <v>-102</v>
      </c>
      <c r="I395" s="70">
        <f>-Inputs!I61</f>
        <v>-75</v>
      </c>
      <c r="J395" s="246">
        <f>(I395/I392)*J392</f>
        <v>-81.688206061024744</v>
      </c>
      <c r="K395" s="246">
        <f t="shared" ref="K395:O395" si="625">(J395/J392)*K392</f>
        <v>-86.970599505237416</v>
      </c>
      <c r="L395" s="246">
        <f t="shared" si="625"/>
        <v>-91.781186760469225</v>
      </c>
      <c r="M395" s="246">
        <f t="shared" si="625"/>
        <v>-93.952270553647764</v>
      </c>
      <c r="N395" s="246">
        <f t="shared" si="625"/>
        <v>-94.364381421109826</v>
      </c>
      <c r="O395" s="246">
        <f t="shared" si="625"/>
        <v>-94.566987820337175</v>
      </c>
      <c r="P395" s="246">
        <f t="shared" ref="P395" si="626">(O395/O392)*P392</f>
        <v>-94.539144383384993</v>
      </c>
      <c r="Q395" s="246">
        <f t="shared" ref="Q395" si="627">(P395/P392)*Q392</f>
        <v>-94.258672752178157</v>
      </c>
      <c r="R395" s="246">
        <f t="shared" ref="R395" si="628">(Q395/Q392)*R392</f>
        <v>-93.662018467349043</v>
      </c>
      <c r="S395" s="246">
        <f t="shared" ref="S395" si="629">(R395/R392)*S392</f>
        <v>-98.181334297153498</v>
      </c>
      <c r="T395" s="246">
        <f t="shared" ref="T395" si="630">(S395/S392)*T392</f>
        <v>-102.90106245062712</v>
      </c>
    </row>
    <row r="396" spans="2:20" s="2" customFormat="1" outlineLevel="4" x14ac:dyDescent="0.2">
      <c r="C396" s="4" t="s">
        <v>40</v>
      </c>
      <c r="D396" s="45" t="s">
        <v>295</v>
      </c>
      <c r="E396" s="81">
        <f>E403/E$37</f>
        <v>179.93521901743279</v>
      </c>
      <c r="F396" s="81">
        <f>F403/F$37</f>
        <v>203.41536989703172</v>
      </c>
      <c r="G396" s="81">
        <f>G403/G$37</f>
        <v>184.28315036648374</v>
      </c>
      <c r="H396" s="81">
        <f>SUM(H392:H395)</f>
        <v>155</v>
      </c>
      <c r="I396" s="81">
        <f>SUM(I392:I395)</f>
        <v>221</v>
      </c>
      <c r="J396" s="81">
        <f t="shared" ref="J396:O396" si="631">SUM(J392:J395)</f>
        <v>238.39886056849463</v>
      </c>
      <c r="K396" s="81">
        <f t="shared" si="631"/>
        <v>255.16108948720267</v>
      </c>
      <c r="L396" s="81">
        <f t="shared" si="631"/>
        <v>270.75450094338424</v>
      </c>
      <c r="M396" s="81">
        <f t="shared" si="631"/>
        <v>280.38625438271231</v>
      </c>
      <c r="N396" s="81">
        <f t="shared" si="631"/>
        <v>285.15200349433542</v>
      </c>
      <c r="O396" s="81">
        <f t="shared" si="631"/>
        <v>289.64517412400414</v>
      </c>
      <c r="P396" s="81">
        <f t="shared" ref="P396:T396" si="632">SUM(P392:P395)</f>
        <v>293.8276607435605</v>
      </c>
      <c r="Q396" s="81">
        <f t="shared" si="632"/>
        <v>297.65896658582574</v>
      </c>
      <c r="R396" s="81">
        <f t="shared" si="632"/>
        <v>300.96728600841493</v>
      </c>
      <c r="S396" s="81">
        <f t="shared" si="632"/>
        <v>315.48935420818657</v>
      </c>
      <c r="T396" s="81">
        <f t="shared" si="632"/>
        <v>330.6554140080151</v>
      </c>
    </row>
    <row r="397" spans="2:20" s="2" customFormat="1" outlineLevel="4" x14ac:dyDescent="0.2">
      <c r="C397" s="3" t="s">
        <v>148</v>
      </c>
      <c r="D397" s="44"/>
      <c r="E397" s="85" t="str">
        <f>IFERROR(E396/D396-1,"")</f>
        <v/>
      </c>
      <c r="F397" s="85">
        <f>IFERROR(F396/E396-1,"")</f>
        <v>0.13049224608621013</v>
      </c>
      <c r="G397" s="85">
        <f>IFERROR(G396/F396-1,"")</f>
        <v>-9.4054935672917228E-2</v>
      </c>
      <c r="H397" s="85">
        <f>IFERROR(H396/G396-1,"")</f>
        <v>-0.15890302671865753</v>
      </c>
      <c r="I397" s="85">
        <f>IFERROR(I396/H396-1,"")</f>
        <v>0.4258064516129032</v>
      </c>
      <c r="J397" s="85">
        <f t="shared" ref="J397:O397" si="633">IFERROR(J396/I396-1,"")</f>
        <v>7.8727875875541198E-2</v>
      </c>
      <c r="K397" s="85">
        <f t="shared" si="633"/>
        <v>7.031169896842715E-2</v>
      </c>
      <c r="L397" s="85">
        <f t="shared" si="633"/>
        <v>6.1112027259013768E-2</v>
      </c>
      <c r="M397" s="85">
        <f t="shared" si="633"/>
        <v>3.5573751888771321E-2</v>
      </c>
      <c r="N397" s="85">
        <f t="shared" si="633"/>
        <v>1.699708540318845E-2</v>
      </c>
      <c r="O397" s="85">
        <f t="shared" si="633"/>
        <v>1.5757106997699832E-2</v>
      </c>
      <c r="P397" s="85">
        <f t="shared" ref="P397" si="634">IFERROR(P396/O396-1,"")</f>
        <v>1.4440035578724197E-2</v>
      </c>
      <c r="Q397" s="85">
        <f t="shared" ref="Q397" si="635">IFERROR(Q396/P396-1,"")</f>
        <v>1.3039296002866907E-2</v>
      </c>
      <c r="R397" s="85">
        <f t="shared" ref="R397" si="636">IFERROR(R396/Q396-1,"")</f>
        <v>1.1114462502292088E-2</v>
      </c>
      <c r="S397" s="85">
        <f t="shared" ref="S397" si="637">IFERROR(S396/R396-1,"")</f>
        <v>4.8251317916876868E-2</v>
      </c>
      <c r="T397" s="85">
        <f t="shared" ref="T397" si="638">IFERROR(T396/S396-1,"")</f>
        <v>4.8071542185289307E-2</v>
      </c>
    </row>
    <row r="398" spans="2:20" s="2" customFormat="1" outlineLevel="4" x14ac:dyDescent="0.2">
      <c r="C398" s="3" t="s">
        <v>241</v>
      </c>
      <c r="D398" s="44"/>
      <c r="E398" s="85">
        <f t="shared" ref="E398:T398" si="639">IFERROR(E396/E$604,"")</f>
        <v>0.19282194413502896</v>
      </c>
      <c r="F398" s="85">
        <f t="shared" si="639"/>
        <v>0.19309969999143123</v>
      </c>
      <c r="G398" s="85">
        <f t="shared" si="639"/>
        <v>0.19168111621701814</v>
      </c>
      <c r="H398" s="85">
        <f t="shared" si="639"/>
        <v>0.16939890710382513</v>
      </c>
      <c r="I398" s="85">
        <f t="shared" si="639"/>
        <v>0.24047878128400435</v>
      </c>
      <c r="J398" s="85">
        <f t="shared" si="639"/>
        <v>0.23088607594936711</v>
      </c>
      <c r="K398" s="85">
        <f t="shared" si="639"/>
        <v>0.22746835443037974</v>
      </c>
      <c r="L398" s="85">
        <f t="shared" si="639"/>
        <v>0.22405063291139243</v>
      </c>
      <c r="M398" s="85">
        <f t="shared" si="639"/>
        <v>0.21721518987341773</v>
      </c>
      <c r="N398" s="85">
        <f t="shared" si="639"/>
        <v>0.210379746835443</v>
      </c>
      <c r="O398" s="85">
        <f t="shared" si="639"/>
        <v>0.20354430379746838</v>
      </c>
      <c r="P398" s="85">
        <f t="shared" si="639"/>
        <v>0.19670886075949368</v>
      </c>
      <c r="Q398" s="85">
        <f t="shared" si="639"/>
        <v>0.189873417721519</v>
      </c>
      <c r="R398" s="85">
        <f t="shared" si="639"/>
        <v>0.18303797468354432</v>
      </c>
      <c r="S398" s="85">
        <f t="shared" si="639"/>
        <v>0.1830379746835443</v>
      </c>
      <c r="T398" s="85">
        <f t="shared" si="639"/>
        <v>0.1830379746835443</v>
      </c>
    </row>
    <row r="399" spans="2:20" s="2" customFormat="1" outlineLevel="4" x14ac:dyDescent="0.2">
      <c r="C399" s="3"/>
      <c r="D399" s="44"/>
      <c r="E399" s="85"/>
      <c r="F399" s="85"/>
      <c r="G399" s="85"/>
      <c r="H399" s="85"/>
      <c r="I399" s="85"/>
      <c r="J399" s="85"/>
      <c r="K399" s="85"/>
      <c r="L399" s="85"/>
      <c r="M399" s="85"/>
      <c r="N399" s="85"/>
      <c r="O399" s="85"/>
      <c r="P399" s="85"/>
      <c r="Q399" s="85"/>
      <c r="R399" s="85"/>
      <c r="S399" s="85"/>
      <c r="T399" s="85"/>
    </row>
    <row r="400" spans="2:20" s="2" customFormat="1" outlineLevel="4" x14ac:dyDescent="0.2">
      <c r="C400" s="2" t="s">
        <v>1004</v>
      </c>
      <c r="D400" s="44" t="s">
        <v>295</v>
      </c>
      <c r="E400" s="544"/>
      <c r="F400" s="544"/>
      <c r="G400" s="544"/>
      <c r="H400" s="17">
        <f>H392+H393</f>
        <v>257</v>
      </c>
      <c r="I400" s="17">
        <f t="shared" ref="I400:T400" si="640">I392+I393</f>
        <v>331</v>
      </c>
      <c r="J400" s="17">
        <f t="shared" si="640"/>
        <v>320.08706662951937</v>
      </c>
      <c r="K400" s="17">
        <f t="shared" si="640"/>
        <v>342.1316889924401</v>
      </c>
      <c r="L400" s="17">
        <f t="shared" si="640"/>
        <v>362.53568770385345</v>
      </c>
      <c r="M400" s="17">
        <f t="shared" si="640"/>
        <v>374.33852493636005</v>
      </c>
      <c r="N400" s="17">
        <f t="shared" si="640"/>
        <v>379.51638491544526</v>
      </c>
      <c r="O400" s="17">
        <f t="shared" si="640"/>
        <v>384.21216194434129</v>
      </c>
      <c r="P400" s="17">
        <f t="shared" si="640"/>
        <v>388.36680512694551</v>
      </c>
      <c r="Q400" s="17">
        <f t="shared" si="640"/>
        <v>391.91763933800388</v>
      </c>
      <c r="R400" s="17">
        <f t="shared" si="640"/>
        <v>394.62930447576394</v>
      </c>
      <c r="S400" s="17">
        <f t="shared" si="640"/>
        <v>413.67068850534008</v>
      </c>
      <c r="T400" s="17">
        <f t="shared" si="640"/>
        <v>433.55647645864224</v>
      </c>
    </row>
    <row r="401" spans="3:22" s="2" customFormat="1" outlineLevel="4" x14ac:dyDescent="0.2">
      <c r="C401" s="3" t="s">
        <v>241</v>
      </c>
      <c r="D401" s="44"/>
      <c r="E401" s="85"/>
      <c r="F401" s="85"/>
      <c r="G401" s="85"/>
      <c r="H401" s="85">
        <f t="shared" ref="H401:T401" si="641">IFERROR(H400/H604,"")</f>
        <v>0.28087431693989073</v>
      </c>
      <c r="I401" s="85">
        <f t="shared" si="641"/>
        <v>0.3601741022850925</v>
      </c>
      <c r="J401" s="85">
        <f t="shared" si="641"/>
        <v>0.31</v>
      </c>
      <c r="K401" s="85">
        <f t="shared" si="641"/>
        <v>0.30499999999999999</v>
      </c>
      <c r="L401" s="85">
        <f t="shared" si="641"/>
        <v>0.3</v>
      </c>
      <c r="M401" s="85">
        <f t="shared" si="641"/>
        <v>0.28999999999999998</v>
      </c>
      <c r="N401" s="85">
        <f t="shared" si="641"/>
        <v>0.27999999999999997</v>
      </c>
      <c r="O401" s="85">
        <f t="shared" si="641"/>
        <v>0.27</v>
      </c>
      <c r="P401" s="85">
        <f t="shared" si="641"/>
        <v>0.26</v>
      </c>
      <c r="Q401" s="85">
        <f t="shared" si="641"/>
        <v>0.25</v>
      </c>
      <c r="R401" s="85">
        <f t="shared" si="641"/>
        <v>0.24</v>
      </c>
      <c r="S401" s="85">
        <f t="shared" si="641"/>
        <v>0.24</v>
      </c>
      <c r="T401" s="85">
        <f t="shared" si="641"/>
        <v>0.24</v>
      </c>
    </row>
    <row r="402" spans="3:22" s="2" customFormat="1" outlineLevel="4" x14ac:dyDescent="0.2">
      <c r="C402" s="3"/>
      <c r="D402" s="44"/>
      <c r="E402" s="85"/>
      <c r="F402" s="85"/>
      <c r="G402" s="85"/>
      <c r="H402" s="85"/>
      <c r="I402" s="85"/>
      <c r="J402" s="85"/>
      <c r="K402" s="85"/>
      <c r="L402" s="85"/>
      <c r="M402" s="85"/>
      <c r="N402" s="85"/>
      <c r="O402" s="85"/>
      <c r="P402" s="85"/>
      <c r="Q402" s="85"/>
      <c r="R402" s="85"/>
      <c r="S402" s="85"/>
      <c r="T402" s="85"/>
    </row>
    <row r="403" spans="3:22" s="2" customFormat="1" outlineLevel="4" x14ac:dyDescent="0.2">
      <c r="C403" s="2" t="s">
        <v>40</v>
      </c>
      <c r="D403" s="44" t="s">
        <v>406</v>
      </c>
      <c r="E403" s="164">
        <v>4851.0535047099884</v>
      </c>
      <c r="F403" s="164">
        <v>5551.2054444899959</v>
      </c>
      <c r="G403" s="164">
        <v>5959.7170828520848</v>
      </c>
      <c r="H403" s="70">
        <f>H396*H$37</f>
        <v>5668.35</v>
      </c>
      <c r="I403" s="70">
        <f>I396*I$37</f>
        <v>8875.3599999999988</v>
      </c>
      <c r="J403" s="70">
        <f t="shared" ref="J403:T403" si="642">J396*J$37</f>
        <v>9973.0190004486903</v>
      </c>
      <c r="K403" s="70">
        <f t="shared" si="642"/>
        <v>11118.998864806921</v>
      </c>
      <c r="L403" s="70">
        <f t="shared" si="642"/>
        <v>12290.107735964526</v>
      </c>
      <c r="M403" s="70">
        <f t="shared" si="642"/>
        <v>13257.617686718748</v>
      </c>
      <c r="N403" s="70">
        <f t="shared" si="642"/>
        <v>14044.748486232011</v>
      </c>
      <c r="O403" s="70">
        <f t="shared" si="642"/>
        <v>14860.47196967224</v>
      </c>
      <c r="P403" s="70">
        <f t="shared" si="642"/>
        <v>15703.185118365562</v>
      </c>
      <c r="Q403" s="70">
        <f t="shared" si="642"/>
        <v>16570.774580533067</v>
      </c>
      <c r="R403" s="70">
        <f t="shared" si="642"/>
        <v>17453.072742960769</v>
      </c>
      <c r="S403" s="70">
        <f t="shared" si="642"/>
        <v>19057.506775528906</v>
      </c>
      <c r="T403" s="70">
        <f t="shared" si="642"/>
        <v>20805.865121286646</v>
      </c>
    </row>
    <row r="404" spans="3:22" s="2" customFormat="1" outlineLevel="4" x14ac:dyDescent="0.2">
      <c r="C404" s="3"/>
      <c r="D404" s="44"/>
      <c r="H404" s="70"/>
      <c r="I404" s="70"/>
      <c r="J404" s="85"/>
      <c r="K404" s="85"/>
      <c r="L404" s="85"/>
      <c r="M404" s="85"/>
      <c r="N404" s="85"/>
      <c r="O404" s="85"/>
      <c r="P404" s="85"/>
      <c r="Q404" s="85"/>
      <c r="R404" s="85"/>
      <c r="S404" s="85"/>
      <c r="T404" s="85"/>
    </row>
    <row r="405" spans="3:22" outlineLevel="4" x14ac:dyDescent="0.2">
      <c r="C405" s="1" t="s">
        <v>1005</v>
      </c>
      <c r="E405" s="1"/>
      <c r="F405" s="1"/>
      <c r="G405" s="1"/>
      <c r="H405" s="13">
        <f>-H395</f>
        <v>102</v>
      </c>
      <c r="I405" s="13">
        <f>-I395</f>
        <v>75</v>
      </c>
      <c r="J405" s="13">
        <f t="shared" ref="J405:T405" si="643">-J395</f>
        <v>81.688206061024744</v>
      </c>
      <c r="K405" s="13">
        <f t="shared" si="643"/>
        <v>86.970599505237416</v>
      </c>
      <c r="L405" s="13">
        <f t="shared" si="643"/>
        <v>91.781186760469225</v>
      </c>
      <c r="M405" s="13">
        <f t="shared" si="643"/>
        <v>93.952270553647764</v>
      </c>
      <c r="N405" s="13">
        <f t="shared" si="643"/>
        <v>94.364381421109826</v>
      </c>
      <c r="O405" s="13">
        <f t="shared" si="643"/>
        <v>94.566987820337175</v>
      </c>
      <c r="P405" s="13">
        <f t="shared" si="643"/>
        <v>94.539144383384993</v>
      </c>
      <c r="Q405" s="13">
        <f t="shared" si="643"/>
        <v>94.258672752178157</v>
      </c>
      <c r="R405" s="13">
        <f t="shared" si="643"/>
        <v>93.662018467349043</v>
      </c>
      <c r="S405" s="13">
        <f t="shared" si="643"/>
        <v>98.181334297153498</v>
      </c>
      <c r="T405" s="13">
        <f t="shared" si="643"/>
        <v>102.90106245062712</v>
      </c>
    </row>
    <row r="406" spans="3:22" outlineLevel="4" x14ac:dyDescent="0.2">
      <c r="C406" s="1" t="s">
        <v>1006</v>
      </c>
      <c r="E406" s="1"/>
      <c r="F406" s="1"/>
      <c r="G406" s="1"/>
      <c r="H406" s="52">
        <f t="shared" ref="H406:T406" si="644">H405/H$604</f>
        <v>0.11147540983606558</v>
      </c>
      <c r="I406" s="52">
        <f t="shared" si="644"/>
        <v>8.1610446137105552E-2</v>
      </c>
      <c r="J406" s="52">
        <f t="shared" si="644"/>
        <v>7.9113924050632917E-2</v>
      </c>
      <c r="K406" s="52">
        <f t="shared" si="644"/>
        <v>7.753164556962025E-2</v>
      </c>
      <c r="L406" s="52">
        <f t="shared" si="644"/>
        <v>7.5949367088607597E-2</v>
      </c>
      <c r="M406" s="52">
        <f t="shared" si="644"/>
        <v>7.2784810126582278E-2</v>
      </c>
      <c r="N406" s="52">
        <f t="shared" si="644"/>
        <v>6.9620253164556972E-2</v>
      </c>
      <c r="O406" s="52">
        <f t="shared" si="644"/>
        <v>6.6455696202531653E-2</v>
      </c>
      <c r="P406" s="52">
        <f t="shared" si="644"/>
        <v>6.3291139240506347E-2</v>
      </c>
      <c r="Q406" s="52">
        <f t="shared" si="644"/>
        <v>6.0126582278481021E-2</v>
      </c>
      <c r="R406" s="52">
        <f t="shared" si="644"/>
        <v>5.6962025316455701E-2</v>
      </c>
      <c r="S406" s="52">
        <f t="shared" si="644"/>
        <v>5.6962025316455694E-2</v>
      </c>
      <c r="T406" s="52">
        <f t="shared" si="644"/>
        <v>5.6962025316455701E-2</v>
      </c>
    </row>
    <row r="407" spans="3:22" outlineLevel="4" x14ac:dyDescent="0.2">
      <c r="E407" s="1"/>
      <c r="F407" s="1"/>
      <c r="G407" s="1"/>
      <c r="H407" s="1"/>
      <c r="I407" s="1"/>
      <c r="J407" s="1"/>
      <c r="K407" s="1"/>
      <c r="L407" s="1"/>
      <c r="M407" s="1"/>
      <c r="N407" s="1"/>
      <c r="O407" s="1"/>
      <c r="P407" s="1"/>
      <c r="Q407" s="1"/>
      <c r="R407" s="1"/>
      <c r="S407" s="1"/>
      <c r="T407" s="1"/>
    </row>
    <row r="408" spans="3:22" outlineLevel="4" x14ac:dyDescent="0.2">
      <c r="C408" s="1" t="s">
        <v>995</v>
      </c>
      <c r="E408" s="1"/>
      <c r="F408" s="1"/>
      <c r="G408" s="1"/>
      <c r="H408" s="1">
        <f>H392</f>
        <v>207</v>
      </c>
      <c r="I408" s="1">
        <f>I392</f>
        <v>237</v>
      </c>
      <c r="J408" s="145">
        <f t="shared" ref="J408:T408" si="645">J409*J$604</f>
        <v>258.13473115283819</v>
      </c>
      <c r="K408" s="145">
        <f t="shared" si="645"/>
        <v>274.82709443655023</v>
      </c>
      <c r="L408" s="145">
        <f t="shared" si="645"/>
        <v>290.02855016308274</v>
      </c>
      <c r="M408" s="145">
        <f t="shared" si="645"/>
        <v>296.88917494952693</v>
      </c>
      <c r="N408" s="145">
        <f t="shared" si="645"/>
        <v>298.19144529070701</v>
      </c>
      <c r="O408" s="145">
        <f t="shared" si="645"/>
        <v>298.83168151226545</v>
      </c>
      <c r="P408" s="145">
        <f t="shared" si="645"/>
        <v>298.74369625149654</v>
      </c>
      <c r="Q408" s="145">
        <f t="shared" si="645"/>
        <v>297.85740589688294</v>
      </c>
      <c r="R408" s="145">
        <f t="shared" si="645"/>
        <v>295.97197835682294</v>
      </c>
      <c r="S408" s="145">
        <f t="shared" si="645"/>
        <v>310.25301637900503</v>
      </c>
      <c r="T408" s="145">
        <f t="shared" si="645"/>
        <v>325.16735734398168</v>
      </c>
      <c r="V408" s="1" t="s">
        <v>994</v>
      </c>
    </row>
    <row r="409" spans="3:22" outlineLevel="4" x14ac:dyDescent="0.2">
      <c r="C409" s="1" t="s">
        <v>240</v>
      </c>
      <c r="E409" s="1"/>
      <c r="F409" s="1"/>
      <c r="G409" s="1"/>
      <c r="H409" s="52">
        <f>H408/H$604</f>
        <v>0.2262295081967213</v>
      </c>
      <c r="I409" s="52">
        <f>I408/I$604</f>
        <v>0.25788900979325352</v>
      </c>
      <c r="J409" s="141">
        <f t="shared" ref="J409:T409" si="646">J17</f>
        <v>0.25</v>
      </c>
      <c r="K409" s="141">
        <f t="shared" si="646"/>
        <v>0.245</v>
      </c>
      <c r="L409" s="141">
        <f t="shared" si="646"/>
        <v>0.24</v>
      </c>
      <c r="M409" s="141">
        <f t="shared" si="646"/>
        <v>0.23</v>
      </c>
      <c r="N409" s="141">
        <f t="shared" si="646"/>
        <v>0.22</v>
      </c>
      <c r="O409" s="141">
        <f t="shared" si="646"/>
        <v>0.21</v>
      </c>
      <c r="P409" s="141">
        <f t="shared" si="646"/>
        <v>0.2</v>
      </c>
      <c r="Q409" s="141">
        <f t="shared" si="646"/>
        <v>0.19</v>
      </c>
      <c r="R409" s="141">
        <f t="shared" si="646"/>
        <v>0.18</v>
      </c>
      <c r="S409" s="141">
        <f t="shared" si="646"/>
        <v>0.18</v>
      </c>
      <c r="T409" s="141">
        <f t="shared" si="646"/>
        <v>0.18</v>
      </c>
      <c r="V409" s="2" t="s">
        <v>316</v>
      </c>
    </row>
    <row r="410" spans="3:22" outlineLevel="4" x14ac:dyDescent="0.2">
      <c r="E410" s="1"/>
      <c r="F410" s="1"/>
      <c r="G410" s="1"/>
      <c r="H410" s="1"/>
      <c r="I410" s="1"/>
      <c r="J410" s="1"/>
      <c r="K410" s="1"/>
      <c r="L410" s="1"/>
      <c r="M410" s="1"/>
      <c r="N410" s="1"/>
      <c r="O410" s="1"/>
      <c r="P410" s="1"/>
      <c r="Q410" s="1"/>
      <c r="R410" s="1"/>
      <c r="S410" s="1"/>
      <c r="T410" s="1"/>
    </row>
    <row r="411" spans="3:22" s="2" customFormat="1" outlineLevel="4" x14ac:dyDescent="0.2">
      <c r="C411" s="2" t="s">
        <v>6</v>
      </c>
      <c r="D411" s="44"/>
      <c r="H411" s="17">
        <f>-H643</f>
        <v>127</v>
      </c>
      <c r="I411" s="17">
        <f>-I643</f>
        <v>118</v>
      </c>
      <c r="J411" s="545">
        <f t="shared" ref="J411:T411" si="647">J408*J412</f>
        <v>141.42951409365418</v>
      </c>
      <c r="K411" s="545">
        <f t="shared" si="647"/>
        <v>164.31645266522858</v>
      </c>
      <c r="L411" s="545">
        <f t="shared" si="647"/>
        <v>187.90668302760071</v>
      </c>
      <c r="M411" s="545">
        <f t="shared" si="647"/>
        <v>207.19607399431126</v>
      </c>
      <c r="N411" s="545">
        <f t="shared" si="647"/>
        <v>223.0144880918896</v>
      </c>
      <c r="O411" s="545">
        <f t="shared" si="647"/>
        <v>238.43489862434353</v>
      </c>
      <c r="P411" s="545">
        <f t="shared" si="647"/>
        <v>253.30188085121625</v>
      </c>
      <c r="Q411" s="545">
        <f t="shared" si="647"/>
        <v>267.44327415551356</v>
      </c>
      <c r="R411" s="545">
        <f t="shared" si="647"/>
        <v>280.54896598253293</v>
      </c>
      <c r="S411" s="545">
        <f t="shared" si="647"/>
        <v>309.5984741503575</v>
      </c>
      <c r="T411" s="545">
        <f t="shared" si="647"/>
        <v>325.16735734398168</v>
      </c>
    </row>
    <row r="412" spans="3:22" outlineLevel="4" x14ac:dyDescent="0.2">
      <c r="C412" s="1" t="s">
        <v>996</v>
      </c>
      <c r="E412" s="1"/>
      <c r="F412" s="1"/>
      <c r="G412" s="1"/>
      <c r="H412" s="52">
        <f>H411/H408</f>
        <v>0.61352657004830913</v>
      </c>
      <c r="I412" s="52">
        <f>I411/I408</f>
        <v>0.49789029535864981</v>
      </c>
      <c r="J412" s="141">
        <f>MIN(I412+5%,1)</f>
        <v>0.54789029535864986</v>
      </c>
      <c r="K412" s="141">
        <f t="shared" ref="K412:T412" si="648">MIN(J412+5%,1)</f>
        <v>0.5978902953586499</v>
      </c>
      <c r="L412" s="141">
        <f t="shared" si="648"/>
        <v>0.64789029535864995</v>
      </c>
      <c r="M412" s="141">
        <f t="shared" si="648"/>
        <v>0.69789029535864999</v>
      </c>
      <c r="N412" s="141">
        <f t="shared" si="648"/>
        <v>0.74789029535865004</v>
      </c>
      <c r="O412" s="141">
        <f t="shared" si="648"/>
        <v>0.79789029535865008</v>
      </c>
      <c r="P412" s="141">
        <f t="shared" si="648"/>
        <v>0.84789029535865013</v>
      </c>
      <c r="Q412" s="141">
        <f t="shared" si="648"/>
        <v>0.89789029535865017</v>
      </c>
      <c r="R412" s="141">
        <f t="shared" si="648"/>
        <v>0.94789029535865021</v>
      </c>
      <c r="S412" s="141">
        <f t="shared" si="648"/>
        <v>0.99789029535865026</v>
      </c>
      <c r="T412" s="141">
        <f t="shared" si="648"/>
        <v>1</v>
      </c>
    </row>
    <row r="413" spans="3:22" outlineLevel="4" x14ac:dyDescent="0.2">
      <c r="E413" s="1"/>
      <c r="F413" s="1"/>
      <c r="G413" s="1"/>
      <c r="H413" s="1"/>
      <c r="I413" s="1"/>
      <c r="J413" s="1"/>
      <c r="K413" s="1"/>
      <c r="L413" s="1"/>
      <c r="M413" s="1"/>
      <c r="N413" s="1"/>
      <c r="O413" s="1"/>
      <c r="P413" s="1"/>
      <c r="Q413" s="1"/>
      <c r="R413" s="1"/>
      <c r="S413" s="1"/>
      <c r="T413" s="1"/>
    </row>
    <row r="414" spans="3:22" outlineLevel="4" x14ac:dyDescent="0.2">
      <c r="C414" s="1" t="s">
        <v>242</v>
      </c>
      <c r="E414" s="1"/>
      <c r="F414" s="1"/>
      <c r="G414" s="1"/>
      <c r="H414" s="1">
        <f>H393</f>
        <v>50</v>
      </c>
      <c r="I414" s="1">
        <f>I393</f>
        <v>94</v>
      </c>
      <c r="J414" s="145">
        <f t="shared" ref="J414:T414" si="649">J415*J$604</f>
        <v>61.952335476681164</v>
      </c>
      <c r="K414" s="145">
        <f t="shared" si="649"/>
        <v>67.30459455588985</v>
      </c>
      <c r="L414" s="145">
        <f t="shared" si="649"/>
        <v>72.507137540770685</v>
      </c>
      <c r="M414" s="145">
        <f t="shared" si="649"/>
        <v>77.449349986833113</v>
      </c>
      <c r="N414" s="145">
        <f t="shared" si="649"/>
        <v>81.324939624738263</v>
      </c>
      <c r="O414" s="145">
        <f t="shared" si="649"/>
        <v>85.380480432075842</v>
      </c>
      <c r="P414" s="145">
        <f t="shared" si="649"/>
        <v>89.623108875448949</v>
      </c>
      <c r="Q414" s="145">
        <f t="shared" si="649"/>
        <v>94.060233441120928</v>
      </c>
      <c r="R414" s="145">
        <f t="shared" si="649"/>
        <v>98.657326118940986</v>
      </c>
      <c r="S414" s="145">
        <f t="shared" si="649"/>
        <v>103.41767212633502</v>
      </c>
      <c r="T414" s="145">
        <f t="shared" si="649"/>
        <v>108.38911911466056</v>
      </c>
    </row>
    <row r="415" spans="3:22" outlineLevel="4" x14ac:dyDescent="0.2">
      <c r="C415" s="1" t="s">
        <v>239</v>
      </c>
      <c r="E415" s="1"/>
      <c r="F415" s="1"/>
      <c r="G415" s="1"/>
      <c r="H415" s="52">
        <f>H414/H$604</f>
        <v>5.4644808743169397E-2</v>
      </c>
      <c r="I415" s="52">
        <f>I414/I$604</f>
        <v>0.10228509249183895</v>
      </c>
      <c r="J415" s="73">
        <v>0.06</v>
      </c>
      <c r="K415" s="73">
        <v>0.06</v>
      </c>
      <c r="L415" s="73">
        <v>0.06</v>
      </c>
      <c r="M415" s="73">
        <v>0.06</v>
      </c>
      <c r="N415" s="73">
        <v>0.06</v>
      </c>
      <c r="O415" s="73">
        <v>0.06</v>
      </c>
      <c r="P415" s="73">
        <v>0.06</v>
      </c>
      <c r="Q415" s="73">
        <v>0.06</v>
      </c>
      <c r="R415" s="73">
        <v>0.06</v>
      </c>
      <c r="S415" s="73">
        <v>0.06</v>
      </c>
      <c r="T415" s="73">
        <v>0.06</v>
      </c>
    </row>
    <row r="416" spans="3:22" outlineLevel="4" x14ac:dyDescent="0.2">
      <c r="E416" s="1"/>
      <c r="F416" s="1"/>
      <c r="G416" s="1"/>
      <c r="H416" s="1"/>
      <c r="I416" s="1"/>
      <c r="J416" s="1"/>
      <c r="K416" s="1"/>
      <c r="L416" s="1"/>
      <c r="M416" s="1"/>
      <c r="N416" s="1"/>
      <c r="O416" s="1"/>
      <c r="P416" s="1"/>
      <c r="Q416" s="1"/>
      <c r="R416" s="1"/>
      <c r="S416" s="1"/>
      <c r="T416" s="1"/>
    </row>
    <row r="417" spans="2:20" s="2" customFormat="1" outlineLevel="4" x14ac:dyDescent="0.2">
      <c r="C417" s="2" t="s">
        <v>243</v>
      </c>
      <c r="D417" s="44"/>
      <c r="H417" s="17">
        <f>-H644</f>
        <v>49</v>
      </c>
      <c r="I417" s="17">
        <f>-I644</f>
        <v>45</v>
      </c>
      <c r="J417" s="545">
        <f>J414*J418</f>
        <v>49.561868381344937</v>
      </c>
      <c r="K417" s="545">
        <f t="shared" ref="K417" si="650">K414*K418</f>
        <v>53.84367564471188</v>
      </c>
      <c r="L417" s="545">
        <f t="shared" ref="L417" si="651">L414*L418</f>
        <v>58.005710032616548</v>
      </c>
      <c r="M417" s="545">
        <f t="shared" ref="M417" si="652">M414*M418</f>
        <v>61.959479989466494</v>
      </c>
      <c r="N417" s="545">
        <f t="shared" ref="N417" si="653">N414*N418</f>
        <v>65.059951699790616</v>
      </c>
      <c r="O417" s="545">
        <f t="shared" ref="O417" si="654">O414*O418</f>
        <v>68.304384345660679</v>
      </c>
      <c r="P417" s="545">
        <f t="shared" ref="P417:T417" si="655">P414*P418</f>
        <v>71.698487100359159</v>
      </c>
      <c r="Q417" s="545">
        <f t="shared" si="655"/>
        <v>75.248186752896743</v>
      </c>
      <c r="R417" s="545">
        <f t="shared" si="655"/>
        <v>78.925860895152795</v>
      </c>
      <c r="S417" s="545">
        <f t="shared" si="655"/>
        <v>82.734137701068022</v>
      </c>
      <c r="T417" s="545">
        <f t="shared" si="655"/>
        <v>86.711295291728447</v>
      </c>
    </row>
    <row r="418" spans="2:20" outlineLevel="4" x14ac:dyDescent="0.2">
      <c r="C418" s="1" t="s">
        <v>993</v>
      </c>
      <c r="E418" s="1"/>
      <c r="F418" s="1"/>
      <c r="G418" s="1"/>
      <c r="H418" s="52">
        <f>H417/H414</f>
        <v>0.98</v>
      </c>
      <c r="I418" s="52">
        <f>I417/I414</f>
        <v>0.47872340425531917</v>
      </c>
      <c r="J418" s="73">
        <v>0.8</v>
      </c>
      <c r="K418" s="73">
        <v>0.8</v>
      </c>
      <c r="L418" s="73">
        <v>0.8</v>
      </c>
      <c r="M418" s="73">
        <v>0.8</v>
      </c>
      <c r="N418" s="73">
        <v>0.8</v>
      </c>
      <c r="O418" s="73">
        <v>0.8</v>
      </c>
      <c r="P418" s="73">
        <v>0.8</v>
      </c>
      <c r="Q418" s="73">
        <v>0.8</v>
      </c>
      <c r="R418" s="73">
        <v>0.8</v>
      </c>
      <c r="S418" s="73">
        <v>0.8</v>
      </c>
      <c r="T418" s="73">
        <v>0.8</v>
      </c>
    </row>
    <row r="419" spans="2:20" outlineLevel="4" x14ac:dyDescent="0.2">
      <c r="E419" s="1"/>
      <c r="F419" s="1"/>
      <c r="G419" s="1"/>
      <c r="H419" s="1"/>
      <c r="I419" s="1"/>
      <c r="J419" s="1"/>
      <c r="K419" s="1"/>
      <c r="L419" s="1"/>
      <c r="M419" s="1"/>
      <c r="N419" s="1"/>
      <c r="O419" s="1"/>
      <c r="P419" s="1"/>
      <c r="Q419" s="1"/>
      <c r="R419" s="1"/>
      <c r="S419" s="1"/>
      <c r="T419" s="1"/>
    </row>
    <row r="420" spans="2:20" outlineLevel="4" x14ac:dyDescent="0.2">
      <c r="E420" s="1"/>
      <c r="F420" s="1"/>
      <c r="G420" s="1"/>
      <c r="H420" s="1"/>
      <c r="I420" s="1"/>
      <c r="J420" s="1"/>
      <c r="K420" s="1"/>
      <c r="L420" s="1"/>
      <c r="M420" s="1"/>
      <c r="N420" s="1"/>
      <c r="O420" s="1"/>
      <c r="P420" s="1"/>
      <c r="Q420" s="1"/>
      <c r="R420" s="1"/>
      <c r="S420" s="1"/>
      <c r="T420" s="1"/>
    </row>
    <row r="421" spans="2:20" outlineLevel="4" x14ac:dyDescent="0.2">
      <c r="B421" s="142" t="s">
        <v>208</v>
      </c>
      <c r="C421" s="143"/>
      <c r="D421" s="144"/>
      <c r="E421" s="143"/>
      <c r="F421" s="143"/>
      <c r="G421" s="143"/>
      <c r="H421" s="143"/>
      <c r="I421" s="143"/>
      <c r="J421" s="143"/>
      <c r="K421" s="143"/>
      <c r="L421" s="143"/>
      <c r="M421" s="143"/>
      <c r="N421" s="143"/>
      <c r="O421" s="143"/>
      <c r="P421" s="143"/>
      <c r="Q421" s="143"/>
      <c r="R421" s="143"/>
      <c r="S421" s="143"/>
      <c r="T421" s="143"/>
    </row>
    <row r="422" spans="2:20" outlineLevel="4" x14ac:dyDescent="0.2">
      <c r="C422" s="1" t="s">
        <v>209</v>
      </c>
      <c r="E422" s="1"/>
      <c r="F422" s="1"/>
      <c r="G422" s="1"/>
      <c r="H422" s="13"/>
      <c r="I422" s="13">
        <f>H426</f>
        <v>597</v>
      </c>
      <c r="J422" s="13">
        <f>I426</f>
        <v>624</v>
      </c>
      <c r="K422" s="13">
        <f t="shared" ref="K422:O422" si="656">J426</f>
        <v>740.70521705918395</v>
      </c>
      <c r="L422" s="13">
        <f t="shared" si="656"/>
        <v>851.21585883050557</v>
      </c>
      <c r="M422" s="13">
        <f t="shared" si="656"/>
        <v>953.33772596598772</v>
      </c>
      <c r="N422" s="13">
        <f t="shared" si="656"/>
        <v>1043.0308269212035</v>
      </c>
      <c r="O422" s="13">
        <f t="shared" si="656"/>
        <v>1118.2077841200207</v>
      </c>
      <c r="P422" s="13">
        <f t="shared" ref="P422" si="657">O426</f>
        <v>1178.6045670079427</v>
      </c>
      <c r="Q422" s="13">
        <f t="shared" ref="Q422" si="658">P426</f>
        <v>1224.0463824082228</v>
      </c>
      <c r="R422" s="13">
        <f t="shared" ref="R422" si="659">Q426</f>
        <v>1254.4605141495922</v>
      </c>
      <c r="S422" s="13">
        <f t="shared" ref="S422" si="660">R426</f>
        <v>1269.8835265238822</v>
      </c>
      <c r="T422" s="13">
        <f t="shared" ref="T422" si="661">S426</f>
        <v>1270.5380687525296</v>
      </c>
    </row>
    <row r="423" spans="2:20" outlineLevel="4" x14ac:dyDescent="0.2">
      <c r="C423" s="36" t="s">
        <v>210</v>
      </c>
      <c r="E423" s="1"/>
      <c r="F423" s="1"/>
      <c r="G423" s="1"/>
      <c r="H423" s="1"/>
      <c r="I423" s="1">
        <f t="shared" ref="I423:T423" si="662">I408</f>
        <v>237</v>
      </c>
      <c r="J423" s="145">
        <f t="shared" si="662"/>
        <v>258.13473115283819</v>
      </c>
      <c r="K423" s="145">
        <f t="shared" si="662"/>
        <v>274.82709443655023</v>
      </c>
      <c r="L423" s="145">
        <f t="shared" si="662"/>
        <v>290.02855016308274</v>
      </c>
      <c r="M423" s="145">
        <f t="shared" si="662"/>
        <v>296.88917494952693</v>
      </c>
      <c r="N423" s="145">
        <f t="shared" si="662"/>
        <v>298.19144529070701</v>
      </c>
      <c r="O423" s="145">
        <f t="shared" si="662"/>
        <v>298.83168151226545</v>
      </c>
      <c r="P423" s="145">
        <f t="shared" si="662"/>
        <v>298.74369625149654</v>
      </c>
      <c r="Q423" s="145">
        <f t="shared" si="662"/>
        <v>297.85740589688294</v>
      </c>
      <c r="R423" s="145">
        <f t="shared" si="662"/>
        <v>295.97197835682294</v>
      </c>
      <c r="S423" s="145">
        <f t="shared" si="662"/>
        <v>310.25301637900503</v>
      </c>
      <c r="T423" s="145">
        <f t="shared" si="662"/>
        <v>325.16735734398168</v>
      </c>
    </row>
    <row r="424" spans="2:20" outlineLevel="4" x14ac:dyDescent="0.2">
      <c r="C424" s="36" t="s">
        <v>211</v>
      </c>
      <c r="E424" s="1"/>
      <c r="F424" s="1"/>
      <c r="G424" s="1"/>
      <c r="H424" s="13"/>
      <c r="I424" s="13">
        <f t="shared" ref="I424:T424" si="663">-I411</f>
        <v>-118</v>
      </c>
      <c r="J424" s="13">
        <f t="shared" si="663"/>
        <v>-141.42951409365418</v>
      </c>
      <c r="K424" s="13">
        <f t="shared" si="663"/>
        <v>-164.31645266522858</v>
      </c>
      <c r="L424" s="13">
        <f t="shared" si="663"/>
        <v>-187.90668302760071</v>
      </c>
      <c r="M424" s="13">
        <f t="shared" si="663"/>
        <v>-207.19607399431126</v>
      </c>
      <c r="N424" s="13">
        <f t="shared" si="663"/>
        <v>-223.0144880918896</v>
      </c>
      <c r="O424" s="13">
        <f t="shared" si="663"/>
        <v>-238.43489862434353</v>
      </c>
      <c r="P424" s="13">
        <f t="shared" si="663"/>
        <v>-253.30188085121625</v>
      </c>
      <c r="Q424" s="13">
        <f t="shared" si="663"/>
        <v>-267.44327415551356</v>
      </c>
      <c r="R424" s="13">
        <f t="shared" si="663"/>
        <v>-280.54896598253293</v>
      </c>
      <c r="S424" s="13">
        <f t="shared" si="663"/>
        <v>-309.5984741503575</v>
      </c>
      <c r="T424" s="13">
        <f t="shared" si="663"/>
        <v>-325.16735734398168</v>
      </c>
    </row>
    <row r="425" spans="2:20" outlineLevel="4" x14ac:dyDescent="0.2">
      <c r="C425" s="36"/>
      <c r="E425" s="1"/>
      <c r="F425" s="1"/>
      <c r="G425" s="1"/>
      <c r="H425" s="13"/>
      <c r="I425" s="13">
        <f>I426-I424-I423-I422</f>
        <v>-92</v>
      </c>
      <c r="J425" s="1"/>
      <c r="K425" s="1"/>
      <c r="L425" s="1"/>
      <c r="M425" s="1"/>
      <c r="N425" s="1"/>
      <c r="O425" s="1"/>
      <c r="P425" s="1"/>
      <c r="Q425" s="1"/>
      <c r="R425" s="1"/>
      <c r="S425" s="1"/>
      <c r="T425" s="1"/>
    </row>
    <row r="426" spans="2:20" s="2" customFormat="1" outlineLevel="4" x14ac:dyDescent="0.2">
      <c r="C426" s="4" t="s">
        <v>212</v>
      </c>
      <c r="D426" s="45"/>
      <c r="E426" s="4"/>
      <c r="F426" s="4"/>
      <c r="G426" s="4"/>
      <c r="H426" s="23">
        <f>H684</f>
        <v>597</v>
      </c>
      <c r="I426" s="23">
        <f>I684</f>
        <v>624</v>
      </c>
      <c r="J426" s="23">
        <f>SUM(J422:J425)</f>
        <v>740.70521705918395</v>
      </c>
      <c r="K426" s="23">
        <f t="shared" ref="K426:O426" si="664">SUM(K422:K425)</f>
        <v>851.21585883050557</v>
      </c>
      <c r="L426" s="23">
        <f t="shared" si="664"/>
        <v>953.33772596598772</v>
      </c>
      <c r="M426" s="23">
        <f t="shared" si="664"/>
        <v>1043.0308269212035</v>
      </c>
      <c r="N426" s="23">
        <f t="shared" si="664"/>
        <v>1118.2077841200207</v>
      </c>
      <c r="O426" s="23">
        <f t="shared" si="664"/>
        <v>1178.6045670079427</v>
      </c>
      <c r="P426" s="23">
        <f t="shared" ref="P426:T426" si="665">SUM(P422:P425)</f>
        <v>1224.0463824082228</v>
      </c>
      <c r="Q426" s="23">
        <f t="shared" si="665"/>
        <v>1254.4605141495922</v>
      </c>
      <c r="R426" s="23">
        <f t="shared" si="665"/>
        <v>1269.8835265238822</v>
      </c>
      <c r="S426" s="23">
        <f t="shared" si="665"/>
        <v>1270.5380687525296</v>
      </c>
      <c r="T426" s="23">
        <f t="shared" si="665"/>
        <v>1270.5380687525296</v>
      </c>
    </row>
    <row r="427" spans="2:20" outlineLevel="4" x14ac:dyDescent="0.2">
      <c r="E427" s="1"/>
      <c r="F427" s="1"/>
      <c r="G427" s="1"/>
      <c r="H427" s="1"/>
      <c r="I427" s="1"/>
      <c r="J427" s="1"/>
      <c r="K427" s="1"/>
      <c r="L427" s="1"/>
      <c r="M427" s="1"/>
      <c r="N427" s="1"/>
      <c r="O427" s="1"/>
      <c r="P427" s="1"/>
      <c r="Q427" s="1"/>
      <c r="R427" s="1"/>
      <c r="S427" s="1"/>
      <c r="T427" s="1"/>
    </row>
    <row r="428" spans="2:20" outlineLevel="4" x14ac:dyDescent="0.2">
      <c r="E428" s="1"/>
      <c r="F428" s="1"/>
      <c r="G428" s="1"/>
      <c r="H428" s="1"/>
      <c r="I428" s="1"/>
      <c r="J428" s="1"/>
      <c r="K428" s="1"/>
      <c r="L428" s="1"/>
      <c r="M428" s="1"/>
      <c r="N428" s="1"/>
      <c r="O428" s="1"/>
      <c r="P428" s="1"/>
      <c r="Q428" s="1"/>
      <c r="R428" s="1"/>
      <c r="S428" s="1"/>
      <c r="T428" s="1"/>
    </row>
    <row r="429" spans="2:20" outlineLevel="4" x14ac:dyDescent="0.2">
      <c r="B429" s="142" t="s">
        <v>226</v>
      </c>
      <c r="C429" s="143"/>
      <c r="D429" s="144"/>
      <c r="E429" s="143"/>
      <c r="F429" s="143"/>
      <c r="G429" s="143"/>
      <c r="H429" s="143"/>
      <c r="I429" s="143"/>
      <c r="J429" s="143"/>
      <c r="K429" s="143"/>
      <c r="L429" s="143"/>
      <c r="M429" s="143"/>
      <c r="N429" s="143"/>
      <c r="O429" s="143"/>
      <c r="P429" s="143"/>
      <c r="Q429" s="143"/>
      <c r="R429" s="143"/>
      <c r="S429" s="143"/>
      <c r="T429" s="143"/>
    </row>
    <row r="430" spans="2:20" outlineLevel="4" x14ac:dyDescent="0.2">
      <c r="C430" s="1" t="s">
        <v>209</v>
      </c>
      <c r="E430" s="1"/>
      <c r="F430" s="1"/>
      <c r="G430" s="1"/>
      <c r="H430" s="1"/>
      <c r="I430" s="13">
        <f>H434</f>
        <v>272</v>
      </c>
      <c r="J430" s="13">
        <f t="shared" ref="J430:O430" si="666">I434</f>
        <v>297</v>
      </c>
      <c r="K430" s="13">
        <f t="shared" si="666"/>
        <v>309.39046709533625</v>
      </c>
      <c r="L430" s="13">
        <f t="shared" si="666"/>
        <v>322.85138600651419</v>
      </c>
      <c r="M430" s="13">
        <f t="shared" si="666"/>
        <v>337.35281351466836</v>
      </c>
      <c r="N430" s="13">
        <f t="shared" si="666"/>
        <v>352.84268351203497</v>
      </c>
      <c r="O430" s="13">
        <f t="shared" si="666"/>
        <v>369.10767143698263</v>
      </c>
      <c r="P430" s="13">
        <f t="shared" ref="P430" si="667">O434</f>
        <v>386.18376752339782</v>
      </c>
      <c r="Q430" s="13">
        <f t="shared" ref="Q430" si="668">P434</f>
        <v>404.10838929848762</v>
      </c>
      <c r="R430" s="13">
        <f t="shared" ref="R430" si="669">Q434</f>
        <v>422.92043598671182</v>
      </c>
      <c r="S430" s="13">
        <f t="shared" ref="S430" si="670">R434</f>
        <v>442.6519012105</v>
      </c>
      <c r="T430" s="13">
        <f t="shared" ref="T430" si="671">S434</f>
        <v>463.335435635767</v>
      </c>
    </row>
    <row r="431" spans="2:20" outlineLevel="4" x14ac:dyDescent="0.2">
      <c r="C431" s="36" t="s">
        <v>227</v>
      </c>
      <c r="E431" s="1"/>
      <c r="F431" s="1"/>
      <c r="G431" s="1"/>
      <c r="H431" s="1"/>
      <c r="I431" s="1">
        <f>I414</f>
        <v>94</v>
      </c>
      <c r="J431" s="145">
        <f t="shared" ref="J431:O431" si="672">J414</f>
        <v>61.952335476681164</v>
      </c>
      <c r="K431" s="145">
        <f t="shared" si="672"/>
        <v>67.30459455588985</v>
      </c>
      <c r="L431" s="145">
        <f t="shared" si="672"/>
        <v>72.507137540770685</v>
      </c>
      <c r="M431" s="145">
        <f t="shared" si="672"/>
        <v>77.449349986833113</v>
      </c>
      <c r="N431" s="145">
        <f t="shared" si="672"/>
        <v>81.324939624738263</v>
      </c>
      <c r="O431" s="145">
        <f t="shared" si="672"/>
        <v>85.380480432075842</v>
      </c>
      <c r="P431" s="145">
        <f t="shared" ref="P431:T431" si="673">P414</f>
        <v>89.623108875448949</v>
      </c>
      <c r="Q431" s="145">
        <f t="shared" si="673"/>
        <v>94.060233441120928</v>
      </c>
      <c r="R431" s="145">
        <f t="shared" si="673"/>
        <v>98.657326118940986</v>
      </c>
      <c r="S431" s="145">
        <f t="shared" si="673"/>
        <v>103.41767212633502</v>
      </c>
      <c r="T431" s="145">
        <f t="shared" si="673"/>
        <v>108.38911911466056</v>
      </c>
    </row>
    <row r="432" spans="2:20" outlineLevel="4" x14ac:dyDescent="0.2">
      <c r="C432" s="36" t="s">
        <v>228</v>
      </c>
      <c r="E432" s="1"/>
      <c r="F432" s="1"/>
      <c r="G432" s="1"/>
      <c r="H432" s="1"/>
      <c r="I432" s="13">
        <f>-I417</f>
        <v>-45</v>
      </c>
      <c r="J432" s="13">
        <f t="shared" ref="J432:O432" si="674">-J417</f>
        <v>-49.561868381344937</v>
      </c>
      <c r="K432" s="13">
        <f t="shared" si="674"/>
        <v>-53.84367564471188</v>
      </c>
      <c r="L432" s="13">
        <f t="shared" si="674"/>
        <v>-58.005710032616548</v>
      </c>
      <c r="M432" s="13">
        <f t="shared" si="674"/>
        <v>-61.959479989466494</v>
      </c>
      <c r="N432" s="13">
        <f t="shared" si="674"/>
        <v>-65.059951699790616</v>
      </c>
      <c r="O432" s="13">
        <f t="shared" si="674"/>
        <v>-68.304384345660679</v>
      </c>
      <c r="P432" s="13">
        <f t="shared" ref="P432:T432" si="675">-P417</f>
        <v>-71.698487100359159</v>
      </c>
      <c r="Q432" s="13">
        <f t="shared" si="675"/>
        <v>-75.248186752896743</v>
      </c>
      <c r="R432" s="13">
        <f t="shared" si="675"/>
        <v>-78.925860895152795</v>
      </c>
      <c r="S432" s="13">
        <f t="shared" si="675"/>
        <v>-82.734137701068022</v>
      </c>
      <c r="T432" s="13">
        <f t="shared" si="675"/>
        <v>-86.711295291728447</v>
      </c>
    </row>
    <row r="433" spans="2:20" outlineLevel="4" x14ac:dyDescent="0.2">
      <c r="C433" s="36"/>
      <c r="E433" s="1"/>
      <c r="F433" s="1"/>
      <c r="G433" s="1"/>
      <c r="H433" s="1"/>
      <c r="I433" s="13">
        <f>I434-I432-I431-I430</f>
        <v>-24</v>
      </c>
      <c r="J433" s="1"/>
      <c r="K433" s="1"/>
      <c r="L433" s="1"/>
      <c r="M433" s="1"/>
      <c r="N433" s="1"/>
      <c r="O433" s="1"/>
      <c r="P433" s="1"/>
      <c r="Q433" s="1"/>
      <c r="R433" s="1"/>
      <c r="S433" s="1"/>
      <c r="T433" s="1"/>
    </row>
    <row r="434" spans="2:20" s="2" customFormat="1" outlineLevel="4" x14ac:dyDescent="0.2">
      <c r="C434" s="4" t="s">
        <v>212</v>
      </c>
      <c r="D434" s="45"/>
      <c r="E434" s="4"/>
      <c r="F434" s="4"/>
      <c r="G434" s="4"/>
      <c r="H434" s="23">
        <f>H685</f>
        <v>272</v>
      </c>
      <c r="I434" s="23">
        <f>I685</f>
        <v>297</v>
      </c>
      <c r="J434" s="23">
        <f>SUM(J430:J433)</f>
        <v>309.39046709533625</v>
      </c>
      <c r="K434" s="23">
        <f t="shared" ref="K434:O434" si="676">SUM(K430:K433)</f>
        <v>322.85138600651419</v>
      </c>
      <c r="L434" s="23">
        <f t="shared" si="676"/>
        <v>337.35281351466836</v>
      </c>
      <c r="M434" s="23">
        <f t="shared" si="676"/>
        <v>352.84268351203497</v>
      </c>
      <c r="N434" s="23">
        <f t="shared" si="676"/>
        <v>369.10767143698263</v>
      </c>
      <c r="O434" s="23">
        <f t="shared" si="676"/>
        <v>386.18376752339782</v>
      </c>
      <c r="P434" s="23">
        <f t="shared" ref="P434:T434" si="677">SUM(P430:P433)</f>
        <v>404.10838929848762</v>
      </c>
      <c r="Q434" s="23">
        <f t="shared" si="677"/>
        <v>422.92043598671182</v>
      </c>
      <c r="R434" s="23">
        <f t="shared" si="677"/>
        <v>442.6519012105</v>
      </c>
      <c r="S434" s="23">
        <f t="shared" si="677"/>
        <v>463.335435635767</v>
      </c>
      <c r="T434" s="23">
        <f t="shared" si="677"/>
        <v>485.01325945869917</v>
      </c>
    </row>
    <row r="435" spans="2:20" outlineLevel="4" x14ac:dyDescent="0.2">
      <c r="E435" s="1"/>
      <c r="F435" s="1"/>
      <c r="G435" s="1"/>
      <c r="H435" s="1"/>
      <c r="I435" s="1"/>
      <c r="J435" s="1"/>
      <c r="K435" s="1"/>
      <c r="L435" s="1"/>
      <c r="M435" s="1"/>
      <c r="N435" s="1"/>
      <c r="O435" s="1"/>
      <c r="P435" s="1"/>
      <c r="Q435" s="1"/>
      <c r="R435" s="1"/>
      <c r="S435" s="1"/>
      <c r="T435" s="1"/>
    </row>
    <row r="436" spans="2:20" outlineLevel="4" x14ac:dyDescent="0.2">
      <c r="B436" s="2" t="s">
        <v>244</v>
      </c>
      <c r="E436" s="1"/>
      <c r="F436" s="1"/>
      <c r="G436" s="1"/>
      <c r="H436" s="1"/>
      <c r="I436" s="1"/>
      <c r="J436" s="1"/>
      <c r="K436" s="1"/>
      <c r="L436" s="1"/>
      <c r="M436" s="1"/>
      <c r="N436" s="1"/>
      <c r="O436" s="1"/>
      <c r="P436" s="1"/>
      <c r="Q436" s="1"/>
      <c r="R436" s="1"/>
      <c r="S436" s="1"/>
      <c r="T436" s="1"/>
    </row>
    <row r="437" spans="2:20" outlineLevel="4" x14ac:dyDescent="0.2">
      <c r="B437" s="2"/>
      <c r="C437" s="2" t="s">
        <v>48</v>
      </c>
      <c r="E437" s="1"/>
      <c r="F437" s="1"/>
      <c r="G437" s="1"/>
      <c r="H437" s="1"/>
      <c r="I437" s="1"/>
      <c r="J437" s="1"/>
      <c r="K437" s="1"/>
      <c r="L437" s="1"/>
      <c r="M437" s="1"/>
      <c r="N437" s="1"/>
      <c r="O437" s="1"/>
      <c r="P437" s="1"/>
      <c r="Q437" s="1"/>
      <c r="R437" s="1"/>
      <c r="S437" s="1"/>
      <c r="T437" s="1"/>
    </row>
    <row r="438" spans="2:20" outlineLevel="4" x14ac:dyDescent="0.2">
      <c r="B438" s="2"/>
      <c r="C438" s="61" t="s">
        <v>52</v>
      </c>
      <c r="E438" s="1"/>
      <c r="F438" s="1"/>
      <c r="G438" s="1"/>
      <c r="H438" s="52">
        <f>H695/H$604</f>
        <v>0.2262295081967213</v>
      </c>
      <c r="I438" s="52">
        <f>I695/I$604</f>
        <v>0.10228509249183895</v>
      </c>
      <c r="J438" s="141">
        <f>I438</f>
        <v>0.10228509249183895</v>
      </c>
      <c r="K438" s="141">
        <f t="shared" ref="K438:O443" si="678">J438</f>
        <v>0.10228509249183895</v>
      </c>
      <c r="L438" s="141">
        <f t="shared" si="678"/>
        <v>0.10228509249183895</v>
      </c>
      <c r="M438" s="141">
        <f t="shared" si="678"/>
        <v>0.10228509249183895</v>
      </c>
      <c r="N438" s="141">
        <f t="shared" si="678"/>
        <v>0.10228509249183895</v>
      </c>
      <c r="O438" s="141">
        <f t="shared" si="678"/>
        <v>0.10228509249183895</v>
      </c>
      <c r="P438" s="141">
        <f t="shared" ref="P438:P439" si="679">O438</f>
        <v>0.10228509249183895</v>
      </c>
      <c r="Q438" s="141">
        <f t="shared" ref="Q438:Q439" si="680">P438</f>
        <v>0.10228509249183895</v>
      </c>
      <c r="R438" s="141">
        <f t="shared" ref="R438:R439" si="681">Q438</f>
        <v>0.10228509249183895</v>
      </c>
      <c r="S438" s="141">
        <f t="shared" ref="S438:S439" si="682">R438</f>
        <v>0.10228509249183895</v>
      </c>
      <c r="T438" s="141">
        <f t="shared" ref="T438:T439" si="683">S438</f>
        <v>0.10228509249183895</v>
      </c>
    </row>
    <row r="439" spans="2:20" outlineLevel="4" x14ac:dyDescent="0.2">
      <c r="C439" s="61" t="s">
        <v>246</v>
      </c>
      <c r="E439" s="1"/>
      <c r="F439" s="1"/>
      <c r="G439" s="1"/>
      <c r="H439" s="52">
        <f>H696/H$604</f>
        <v>1.4207650273224045E-2</v>
      </c>
      <c r="I439" s="52">
        <f>I696/I$604</f>
        <v>2.8291621327529923E-2</v>
      </c>
      <c r="J439" s="141">
        <f>I439</f>
        <v>2.8291621327529923E-2</v>
      </c>
      <c r="K439" s="141">
        <f t="shared" si="678"/>
        <v>2.8291621327529923E-2</v>
      </c>
      <c r="L439" s="141">
        <f t="shared" si="678"/>
        <v>2.8291621327529923E-2</v>
      </c>
      <c r="M439" s="141">
        <f t="shared" si="678"/>
        <v>2.8291621327529923E-2</v>
      </c>
      <c r="N439" s="141">
        <f t="shared" si="678"/>
        <v>2.8291621327529923E-2</v>
      </c>
      <c r="O439" s="141">
        <f t="shared" si="678"/>
        <v>2.8291621327529923E-2</v>
      </c>
      <c r="P439" s="141">
        <f t="shared" si="679"/>
        <v>2.8291621327529923E-2</v>
      </c>
      <c r="Q439" s="141">
        <f t="shared" si="680"/>
        <v>2.8291621327529923E-2</v>
      </c>
      <c r="R439" s="141">
        <f t="shared" si="681"/>
        <v>2.8291621327529923E-2</v>
      </c>
      <c r="S439" s="141">
        <f t="shared" si="682"/>
        <v>2.8291621327529923E-2</v>
      </c>
      <c r="T439" s="141">
        <f t="shared" si="683"/>
        <v>2.8291621327529923E-2</v>
      </c>
    </row>
    <row r="440" spans="2:20" outlineLevel="4" x14ac:dyDescent="0.2">
      <c r="B440" s="2"/>
      <c r="C440" s="2" t="s">
        <v>66</v>
      </c>
      <c r="E440" s="1"/>
      <c r="F440" s="1"/>
      <c r="G440" s="1"/>
      <c r="H440" s="52"/>
      <c r="I440" s="52"/>
      <c r="J440" s="1"/>
      <c r="K440" s="1"/>
      <c r="L440" s="1"/>
      <c r="M440" s="1"/>
      <c r="N440" s="1"/>
      <c r="O440" s="1"/>
      <c r="P440" s="1"/>
      <c r="Q440" s="1"/>
      <c r="R440" s="1"/>
      <c r="S440" s="1"/>
      <c r="T440" s="1"/>
    </row>
    <row r="441" spans="2:20" outlineLevel="4" x14ac:dyDescent="0.2">
      <c r="C441" s="61" t="s">
        <v>62</v>
      </c>
      <c r="E441" s="1"/>
      <c r="F441" s="1"/>
      <c r="G441" s="1"/>
      <c r="H441" s="52">
        <f t="shared" ref="H441:I443" si="684">H717/H$604</f>
        <v>5.4644808743169399E-3</v>
      </c>
      <c r="I441" s="52">
        <f t="shared" si="684"/>
        <v>6.5288356909684441E-3</v>
      </c>
      <c r="J441" s="141">
        <f>I441</f>
        <v>6.5288356909684441E-3</v>
      </c>
      <c r="K441" s="141">
        <f t="shared" si="678"/>
        <v>6.5288356909684441E-3</v>
      </c>
      <c r="L441" s="141">
        <f t="shared" si="678"/>
        <v>6.5288356909684441E-3</v>
      </c>
      <c r="M441" s="141">
        <f t="shared" si="678"/>
        <v>6.5288356909684441E-3</v>
      </c>
      <c r="N441" s="141">
        <f t="shared" si="678"/>
        <v>6.5288356909684441E-3</v>
      </c>
      <c r="O441" s="141">
        <f t="shared" si="678"/>
        <v>6.5288356909684441E-3</v>
      </c>
      <c r="P441" s="141">
        <f t="shared" ref="P441:P443" si="685">O441</f>
        <v>6.5288356909684441E-3</v>
      </c>
      <c r="Q441" s="141">
        <f t="shared" ref="Q441:Q443" si="686">P441</f>
        <v>6.5288356909684441E-3</v>
      </c>
      <c r="R441" s="141">
        <f t="shared" ref="R441:R443" si="687">Q441</f>
        <v>6.5288356909684441E-3</v>
      </c>
      <c r="S441" s="141">
        <f t="shared" ref="S441:S443" si="688">R441</f>
        <v>6.5288356909684441E-3</v>
      </c>
      <c r="T441" s="141">
        <f t="shared" ref="T441:T443" si="689">S441</f>
        <v>6.5288356909684441E-3</v>
      </c>
    </row>
    <row r="442" spans="2:20" outlineLevel="4" x14ac:dyDescent="0.2">
      <c r="C442" s="61" t="s">
        <v>68</v>
      </c>
      <c r="E442" s="1"/>
      <c r="F442" s="1"/>
      <c r="G442" s="1"/>
      <c r="H442" s="52">
        <f t="shared" si="684"/>
        <v>1.7486338797814208E-2</v>
      </c>
      <c r="I442" s="52">
        <f t="shared" si="684"/>
        <v>2.5027203482045703E-2</v>
      </c>
      <c r="J442" s="141">
        <f>I442</f>
        <v>2.5027203482045703E-2</v>
      </c>
      <c r="K442" s="141">
        <f t="shared" si="678"/>
        <v>2.5027203482045703E-2</v>
      </c>
      <c r="L442" s="141">
        <f t="shared" si="678"/>
        <v>2.5027203482045703E-2</v>
      </c>
      <c r="M442" s="141">
        <f t="shared" si="678"/>
        <v>2.5027203482045703E-2</v>
      </c>
      <c r="N442" s="141">
        <f t="shared" si="678"/>
        <v>2.5027203482045703E-2</v>
      </c>
      <c r="O442" s="141">
        <f t="shared" si="678"/>
        <v>2.5027203482045703E-2</v>
      </c>
      <c r="P442" s="141">
        <f t="shared" si="685"/>
        <v>2.5027203482045703E-2</v>
      </c>
      <c r="Q442" s="141">
        <f t="shared" si="686"/>
        <v>2.5027203482045703E-2</v>
      </c>
      <c r="R442" s="141">
        <f t="shared" si="687"/>
        <v>2.5027203482045703E-2</v>
      </c>
      <c r="S442" s="141">
        <f t="shared" si="688"/>
        <v>2.5027203482045703E-2</v>
      </c>
      <c r="T442" s="141">
        <f t="shared" si="689"/>
        <v>2.5027203482045703E-2</v>
      </c>
    </row>
    <row r="443" spans="2:20" outlineLevel="4" x14ac:dyDescent="0.2">
      <c r="C443" s="61" t="s">
        <v>253</v>
      </c>
      <c r="E443" s="1"/>
      <c r="F443" s="1"/>
      <c r="G443" s="1"/>
      <c r="H443" s="52">
        <f t="shared" si="684"/>
        <v>4.480874316939891E-2</v>
      </c>
      <c r="I443" s="52">
        <f t="shared" si="684"/>
        <v>6.2023939064200215E-2</v>
      </c>
      <c r="J443" s="141">
        <f>I443</f>
        <v>6.2023939064200215E-2</v>
      </c>
      <c r="K443" s="141">
        <f t="shared" si="678"/>
        <v>6.2023939064200215E-2</v>
      </c>
      <c r="L443" s="141">
        <f t="shared" si="678"/>
        <v>6.2023939064200215E-2</v>
      </c>
      <c r="M443" s="141">
        <f t="shared" si="678"/>
        <v>6.2023939064200215E-2</v>
      </c>
      <c r="N443" s="141">
        <f t="shared" si="678"/>
        <v>6.2023939064200215E-2</v>
      </c>
      <c r="O443" s="141">
        <f t="shared" si="678"/>
        <v>6.2023939064200215E-2</v>
      </c>
      <c r="P443" s="141">
        <f t="shared" si="685"/>
        <v>6.2023939064200215E-2</v>
      </c>
      <c r="Q443" s="141">
        <f t="shared" si="686"/>
        <v>6.2023939064200215E-2</v>
      </c>
      <c r="R443" s="141">
        <f t="shared" si="687"/>
        <v>6.2023939064200215E-2</v>
      </c>
      <c r="S443" s="141">
        <f t="shared" si="688"/>
        <v>6.2023939064200215E-2</v>
      </c>
      <c r="T443" s="141">
        <f t="shared" si="689"/>
        <v>6.2023939064200215E-2</v>
      </c>
    </row>
    <row r="444" spans="2:20" outlineLevel="4" x14ac:dyDescent="0.2">
      <c r="B444" s="2"/>
      <c r="C444" s="2" t="s">
        <v>42</v>
      </c>
      <c r="E444" s="1"/>
      <c r="F444" s="1"/>
      <c r="G444" s="1"/>
      <c r="H444" s="1"/>
      <c r="I444" s="1"/>
      <c r="J444" s="1"/>
      <c r="K444" s="1"/>
      <c r="L444" s="1"/>
      <c r="M444" s="1"/>
      <c r="N444" s="1"/>
      <c r="O444" s="1"/>
      <c r="P444" s="1"/>
      <c r="Q444" s="1"/>
      <c r="R444" s="1"/>
      <c r="S444" s="1"/>
      <c r="T444" s="1"/>
    </row>
    <row r="445" spans="2:20" outlineLevel="4" x14ac:dyDescent="0.2">
      <c r="C445" s="61" t="s">
        <v>245</v>
      </c>
      <c r="E445" s="1"/>
      <c r="F445" s="1"/>
      <c r="G445" s="1"/>
      <c r="H445" s="52">
        <f>H687/H$604</f>
        <v>7.3224043715846995E-2</v>
      </c>
      <c r="I445" s="52">
        <f>I687/I$604</f>
        <v>8.7051142546245922E-2</v>
      </c>
      <c r="J445" s="52">
        <f t="shared" ref="J445:T445" si="690">J687/J$604</f>
        <v>0.23968295740128948</v>
      </c>
      <c r="K445" s="52">
        <f t="shared" si="690"/>
        <v>0.24627010738687921</v>
      </c>
      <c r="L445" s="52">
        <f t="shared" si="690"/>
        <v>0.25424714065539483</v>
      </c>
      <c r="M445" s="52">
        <f t="shared" si="690"/>
        <v>0.26367051730755914</v>
      </c>
      <c r="N445" s="52">
        <f t="shared" si="690"/>
        <v>0.27675258073559461</v>
      </c>
      <c r="O445" s="52">
        <f t="shared" si="690"/>
        <v>0.2792543797909921</v>
      </c>
      <c r="P445" s="52">
        <f t="shared" si="690"/>
        <v>0.28168232392609099</v>
      </c>
      <c r="Q445" s="52">
        <f t="shared" si="690"/>
        <v>0.284041903123739</v>
      </c>
      <c r="R445" s="52">
        <f t="shared" si="690"/>
        <v>0.2864539685094068</v>
      </c>
      <c r="S445" s="52">
        <f t="shared" si="690"/>
        <v>0.28891585056585284</v>
      </c>
      <c r="T445" s="52">
        <f t="shared" si="690"/>
        <v>0.29131168804763707</v>
      </c>
    </row>
    <row r="446" spans="2:20" outlineLevel="4" x14ac:dyDescent="0.2">
      <c r="C446" s="2" t="s">
        <v>60</v>
      </c>
      <c r="E446" s="1"/>
      <c r="F446" s="1"/>
      <c r="G446" s="1"/>
      <c r="H446" s="52"/>
      <c r="I446" s="52"/>
      <c r="J446" s="1"/>
      <c r="K446" s="1"/>
      <c r="L446" s="1"/>
      <c r="M446" s="1"/>
      <c r="N446" s="1"/>
      <c r="O446" s="1"/>
      <c r="P446" s="1"/>
      <c r="Q446" s="1"/>
      <c r="R446" s="1"/>
      <c r="S446" s="1"/>
      <c r="T446" s="1"/>
    </row>
    <row r="447" spans="2:20" outlineLevel="4" x14ac:dyDescent="0.2">
      <c r="C447" s="61" t="s">
        <v>247</v>
      </c>
      <c r="E447" s="1"/>
      <c r="F447" s="1"/>
      <c r="G447" s="1"/>
      <c r="H447" s="52">
        <f t="shared" ref="H447:I449" si="691">H709/H$604</f>
        <v>3.2786885245901639E-3</v>
      </c>
      <c r="I447" s="52">
        <f t="shared" si="691"/>
        <v>4.3525571273122961E-3</v>
      </c>
      <c r="J447" s="141">
        <f>I447</f>
        <v>4.3525571273122961E-3</v>
      </c>
      <c r="K447" s="141">
        <f t="shared" ref="K447:O447" si="692">J447</f>
        <v>4.3525571273122961E-3</v>
      </c>
      <c r="L447" s="141">
        <f t="shared" si="692"/>
        <v>4.3525571273122961E-3</v>
      </c>
      <c r="M447" s="141">
        <f t="shared" si="692"/>
        <v>4.3525571273122961E-3</v>
      </c>
      <c r="N447" s="141">
        <f t="shared" si="692"/>
        <v>4.3525571273122961E-3</v>
      </c>
      <c r="O447" s="141">
        <f t="shared" si="692"/>
        <v>4.3525571273122961E-3</v>
      </c>
      <c r="P447" s="141">
        <f t="shared" ref="P447:P449" si="693">O447</f>
        <v>4.3525571273122961E-3</v>
      </c>
      <c r="Q447" s="141">
        <f t="shared" ref="Q447:Q449" si="694">P447</f>
        <v>4.3525571273122961E-3</v>
      </c>
      <c r="R447" s="141">
        <f t="shared" ref="R447:R449" si="695">Q447</f>
        <v>4.3525571273122961E-3</v>
      </c>
      <c r="S447" s="141">
        <f t="shared" ref="S447:S449" si="696">R447</f>
        <v>4.3525571273122961E-3</v>
      </c>
      <c r="T447" s="141">
        <f t="shared" ref="T447:T449" si="697">S447</f>
        <v>4.3525571273122961E-3</v>
      </c>
    </row>
    <row r="448" spans="2:20" outlineLevel="4" x14ac:dyDescent="0.2">
      <c r="C448" s="61" t="s">
        <v>63</v>
      </c>
      <c r="E448" s="1"/>
      <c r="F448" s="1"/>
      <c r="G448" s="1"/>
      <c r="H448" s="52">
        <f t="shared" si="691"/>
        <v>5.4644808743169399E-3</v>
      </c>
      <c r="I448" s="52">
        <f t="shared" si="691"/>
        <v>6.5288356909684441E-3</v>
      </c>
      <c r="J448" s="141">
        <f t="shared" ref="J448:O448" si="698">I448</f>
        <v>6.5288356909684441E-3</v>
      </c>
      <c r="K448" s="141">
        <f t="shared" si="698"/>
        <v>6.5288356909684441E-3</v>
      </c>
      <c r="L448" s="141">
        <f t="shared" si="698"/>
        <v>6.5288356909684441E-3</v>
      </c>
      <c r="M448" s="141">
        <f t="shared" si="698"/>
        <v>6.5288356909684441E-3</v>
      </c>
      <c r="N448" s="141">
        <f t="shared" si="698"/>
        <v>6.5288356909684441E-3</v>
      </c>
      <c r="O448" s="141">
        <f t="shared" si="698"/>
        <v>6.5288356909684441E-3</v>
      </c>
      <c r="P448" s="141">
        <f t="shared" si="693"/>
        <v>6.5288356909684441E-3</v>
      </c>
      <c r="Q448" s="141">
        <f t="shared" si="694"/>
        <v>6.5288356909684441E-3</v>
      </c>
      <c r="R448" s="141">
        <f t="shared" si="695"/>
        <v>6.5288356909684441E-3</v>
      </c>
      <c r="S448" s="141">
        <f t="shared" si="696"/>
        <v>6.5288356909684441E-3</v>
      </c>
      <c r="T448" s="141">
        <f t="shared" si="697"/>
        <v>6.5288356909684441E-3</v>
      </c>
    </row>
    <row r="449" spans="2:20" outlineLevel="4" x14ac:dyDescent="0.2">
      <c r="C449" s="61" t="s">
        <v>248</v>
      </c>
      <c r="E449" s="1"/>
      <c r="F449" s="1"/>
      <c r="G449" s="1"/>
      <c r="H449" s="52">
        <f t="shared" si="691"/>
        <v>8.7431693989071038E-3</v>
      </c>
      <c r="I449" s="52">
        <f t="shared" si="691"/>
        <v>7.6169749727965181E-3</v>
      </c>
      <c r="J449" s="141">
        <f t="shared" ref="J449:O449" si="699">I449</f>
        <v>7.6169749727965181E-3</v>
      </c>
      <c r="K449" s="141">
        <f t="shared" si="699"/>
        <v>7.6169749727965181E-3</v>
      </c>
      <c r="L449" s="141">
        <f t="shared" si="699"/>
        <v>7.6169749727965181E-3</v>
      </c>
      <c r="M449" s="141">
        <f t="shared" si="699"/>
        <v>7.6169749727965181E-3</v>
      </c>
      <c r="N449" s="141">
        <f t="shared" si="699"/>
        <v>7.6169749727965181E-3</v>
      </c>
      <c r="O449" s="141">
        <f t="shared" si="699"/>
        <v>7.6169749727965181E-3</v>
      </c>
      <c r="P449" s="141">
        <f t="shared" si="693"/>
        <v>7.6169749727965181E-3</v>
      </c>
      <c r="Q449" s="141">
        <f t="shared" si="694"/>
        <v>7.6169749727965181E-3</v>
      </c>
      <c r="R449" s="141">
        <f t="shared" si="695"/>
        <v>7.6169749727965181E-3</v>
      </c>
      <c r="S449" s="141">
        <f t="shared" si="696"/>
        <v>7.6169749727965181E-3</v>
      </c>
      <c r="T449" s="141">
        <f t="shared" si="697"/>
        <v>7.6169749727965181E-3</v>
      </c>
    </row>
    <row r="450" spans="2:20" outlineLevel="4" x14ac:dyDescent="0.2">
      <c r="C450" s="61"/>
      <c r="E450" s="1"/>
      <c r="F450" s="1"/>
      <c r="G450" s="1"/>
      <c r="H450" s="1"/>
      <c r="I450" s="1"/>
      <c r="J450" s="1"/>
      <c r="K450" s="1"/>
      <c r="L450" s="1"/>
      <c r="M450" s="1"/>
      <c r="N450" s="1"/>
      <c r="O450" s="1"/>
      <c r="P450" s="1"/>
      <c r="Q450" s="1"/>
      <c r="R450" s="1"/>
      <c r="S450" s="1"/>
      <c r="T450" s="1"/>
    </row>
    <row r="451" spans="2:20" outlineLevel="4" x14ac:dyDescent="0.2">
      <c r="E451" s="1"/>
      <c r="F451" s="1"/>
      <c r="G451" s="1"/>
      <c r="H451" s="1"/>
      <c r="I451" s="1"/>
      <c r="J451" s="1"/>
      <c r="K451" s="1"/>
      <c r="L451" s="1"/>
      <c r="M451" s="1"/>
      <c r="N451" s="1"/>
      <c r="O451" s="1"/>
      <c r="P451" s="1"/>
      <c r="Q451" s="1"/>
      <c r="R451" s="1"/>
      <c r="S451" s="1"/>
      <c r="T451" s="1"/>
    </row>
    <row r="452" spans="2:20" outlineLevel="4" x14ac:dyDescent="0.2">
      <c r="B452" s="142" t="s">
        <v>225</v>
      </c>
      <c r="C452" s="143"/>
      <c r="D452" s="144"/>
      <c r="E452" s="143"/>
      <c r="F452" s="143"/>
      <c r="G452" s="143"/>
      <c r="H452" s="143"/>
      <c r="I452" s="143"/>
      <c r="J452" s="143"/>
      <c r="K452" s="143"/>
      <c r="L452" s="143"/>
      <c r="M452" s="143"/>
      <c r="N452" s="143"/>
      <c r="O452" s="143"/>
      <c r="P452" s="143"/>
      <c r="Q452" s="143"/>
      <c r="R452" s="143"/>
      <c r="S452" s="143"/>
      <c r="T452" s="143"/>
    </row>
    <row r="453" spans="2:20" outlineLevel="4" x14ac:dyDescent="0.2">
      <c r="E453" s="1"/>
      <c r="F453" s="1"/>
      <c r="G453" s="1"/>
      <c r="H453" s="1"/>
      <c r="I453" s="1"/>
      <c r="J453" s="1"/>
      <c r="K453" s="1"/>
      <c r="L453" s="1"/>
      <c r="M453" s="1"/>
      <c r="N453" s="1"/>
      <c r="O453" s="1"/>
      <c r="P453" s="1"/>
      <c r="Q453" s="1"/>
      <c r="R453" s="1"/>
      <c r="S453" s="1"/>
      <c r="T453" s="1"/>
    </row>
    <row r="454" spans="2:20" outlineLevel="4" x14ac:dyDescent="0.2">
      <c r="B454" s="1" t="s">
        <v>49</v>
      </c>
      <c r="E454" s="1"/>
      <c r="F454" s="1"/>
      <c r="G454" s="1"/>
      <c r="H454" s="13">
        <f>H691</f>
        <v>4</v>
      </c>
      <c r="I454" s="13">
        <f>I691</f>
        <v>3</v>
      </c>
      <c r="J454" s="145">
        <f t="shared" ref="J454:T454" si="700">-J455*J$636/365</f>
        <v>3.9901618464251873</v>
      </c>
      <c r="K454" s="145">
        <f t="shared" si="700"/>
        <v>4.5872768343322567</v>
      </c>
      <c r="L454" s="145">
        <f t="shared" si="700"/>
        <v>5.2137681355146528</v>
      </c>
      <c r="M454" s="145">
        <f t="shared" si="700"/>
        <v>5.7627710033728352</v>
      </c>
      <c r="N454" s="145">
        <f t="shared" si="700"/>
        <v>6.1731292718305664</v>
      </c>
      <c r="O454" s="145">
        <f t="shared" si="700"/>
        <v>6.5663535426964375</v>
      </c>
      <c r="P454" s="145">
        <f t="shared" si="700"/>
        <v>6.8926412160441011</v>
      </c>
      <c r="Q454" s="145">
        <f t="shared" si="700"/>
        <v>7.23388699568532</v>
      </c>
      <c r="R454" s="145">
        <f t="shared" si="700"/>
        <v>7.58743543718328</v>
      </c>
      <c r="S454" s="145">
        <f t="shared" si="700"/>
        <v>7.9535391966365898</v>
      </c>
      <c r="T454" s="145">
        <f t="shared" si="700"/>
        <v>8.3358780916500574</v>
      </c>
    </row>
    <row r="455" spans="2:20" outlineLevel="4" x14ac:dyDescent="0.2">
      <c r="C455" s="1" t="s">
        <v>250</v>
      </c>
      <c r="E455" s="1"/>
      <c r="F455" s="1"/>
      <c r="G455" s="1"/>
      <c r="H455" s="145">
        <f>365*(H454/-H$636)</f>
        <v>15.531914893617021</v>
      </c>
      <c r="I455" s="145">
        <f>365*(I454/-I$636)</f>
        <v>10.95</v>
      </c>
      <c r="J455" s="150">
        <f>I455</f>
        <v>10.95</v>
      </c>
      <c r="K455" s="150">
        <f t="shared" ref="K455:O455" si="701">J455</f>
        <v>10.95</v>
      </c>
      <c r="L455" s="150">
        <f t="shared" si="701"/>
        <v>10.95</v>
      </c>
      <c r="M455" s="150">
        <f t="shared" si="701"/>
        <v>10.95</v>
      </c>
      <c r="N455" s="150">
        <f t="shared" si="701"/>
        <v>10.95</v>
      </c>
      <c r="O455" s="150">
        <f t="shared" si="701"/>
        <v>10.95</v>
      </c>
      <c r="P455" s="150">
        <f t="shared" ref="P455" si="702">O455</f>
        <v>10.95</v>
      </c>
      <c r="Q455" s="150">
        <f t="shared" ref="Q455" si="703">P455</f>
        <v>10.95</v>
      </c>
      <c r="R455" s="150">
        <f t="shared" ref="R455" si="704">Q455</f>
        <v>10.95</v>
      </c>
      <c r="S455" s="150">
        <f t="shared" ref="S455" si="705">R455</f>
        <v>10.95</v>
      </c>
      <c r="T455" s="150">
        <f t="shared" ref="T455" si="706">S455</f>
        <v>10.95</v>
      </c>
    </row>
    <row r="456" spans="2:20" outlineLevel="4" x14ac:dyDescent="0.2">
      <c r="E456" s="1"/>
      <c r="F456" s="1"/>
      <c r="G456" s="1"/>
      <c r="H456" s="1"/>
      <c r="I456" s="1"/>
      <c r="J456" s="1"/>
      <c r="K456" s="1"/>
      <c r="L456" s="1"/>
      <c r="M456" s="1"/>
      <c r="N456" s="1"/>
      <c r="O456" s="1"/>
      <c r="P456" s="1"/>
      <c r="Q456" s="1"/>
      <c r="R456" s="1"/>
      <c r="S456" s="1"/>
      <c r="T456" s="1"/>
    </row>
    <row r="457" spans="2:20" outlineLevel="4" x14ac:dyDescent="0.2">
      <c r="B457" s="1" t="s">
        <v>229</v>
      </c>
      <c r="E457" s="1"/>
      <c r="F457" s="1"/>
      <c r="G457" s="1"/>
      <c r="H457" s="13">
        <f>H692</f>
        <v>55</v>
      </c>
      <c r="I457" s="13">
        <f>I692</f>
        <v>40</v>
      </c>
      <c r="J457" s="145">
        <f t="shared" ref="J457:T457" si="707">J458*J$604/365</f>
        <v>44.941846555445167</v>
      </c>
      <c r="K457" s="145">
        <f t="shared" si="707"/>
        <v>48.824515455850452</v>
      </c>
      <c r="L457" s="145">
        <f t="shared" si="707"/>
        <v>52.598576380682402</v>
      </c>
      <c r="M457" s="145">
        <f t="shared" si="707"/>
        <v>56.183786715149161</v>
      </c>
      <c r="N457" s="145">
        <f t="shared" si="707"/>
        <v>58.995240931982785</v>
      </c>
      <c r="O457" s="145">
        <f t="shared" si="707"/>
        <v>61.937236439663295</v>
      </c>
      <c r="P457" s="145">
        <f t="shared" si="707"/>
        <v>65.01495021795354</v>
      </c>
      <c r="Q457" s="145">
        <f t="shared" si="707"/>
        <v>68.233756576801554</v>
      </c>
      <c r="R457" s="145">
        <f t="shared" si="707"/>
        <v>71.568607993428358</v>
      </c>
      <c r="S457" s="145">
        <f t="shared" si="707"/>
        <v>75.021887650587615</v>
      </c>
      <c r="T457" s="145">
        <f t="shared" si="707"/>
        <v>78.628305487602887</v>
      </c>
    </row>
    <row r="458" spans="2:20" outlineLevel="4" x14ac:dyDescent="0.2">
      <c r="C458" s="1" t="s">
        <v>251</v>
      </c>
      <c r="E458" s="1"/>
      <c r="F458" s="1"/>
      <c r="G458" s="1"/>
      <c r="H458" s="145">
        <f>365*(H457/H$604)</f>
        <v>21.939890710382514</v>
      </c>
      <c r="I458" s="145">
        <f>365*(I457/I$604)</f>
        <v>15.886833514689881</v>
      </c>
      <c r="J458" s="150">
        <f>I458</f>
        <v>15.886833514689881</v>
      </c>
      <c r="K458" s="150">
        <f t="shared" ref="K458:O458" si="708">J458</f>
        <v>15.886833514689881</v>
      </c>
      <c r="L458" s="150">
        <f t="shared" si="708"/>
        <v>15.886833514689881</v>
      </c>
      <c r="M458" s="150">
        <f t="shared" si="708"/>
        <v>15.886833514689881</v>
      </c>
      <c r="N458" s="150">
        <f t="shared" si="708"/>
        <v>15.886833514689881</v>
      </c>
      <c r="O458" s="150">
        <f t="shared" si="708"/>
        <v>15.886833514689881</v>
      </c>
      <c r="P458" s="150">
        <f t="shared" ref="P458" si="709">O458</f>
        <v>15.886833514689881</v>
      </c>
      <c r="Q458" s="150">
        <f t="shared" ref="Q458" si="710">P458</f>
        <v>15.886833514689881</v>
      </c>
      <c r="R458" s="150">
        <f t="shared" ref="R458" si="711">Q458</f>
        <v>15.886833514689881</v>
      </c>
      <c r="S458" s="150">
        <f t="shared" ref="S458" si="712">R458</f>
        <v>15.886833514689881</v>
      </c>
      <c r="T458" s="150">
        <f t="shared" ref="T458" si="713">S458</f>
        <v>15.886833514689881</v>
      </c>
    </row>
    <row r="459" spans="2:20" outlineLevel="4" x14ac:dyDescent="0.2">
      <c r="E459" s="1"/>
      <c r="F459" s="1"/>
      <c r="G459" s="1"/>
      <c r="H459" s="1"/>
      <c r="I459" s="1"/>
      <c r="J459" s="1"/>
      <c r="K459" s="1"/>
      <c r="L459" s="1"/>
      <c r="M459" s="1"/>
      <c r="N459" s="1"/>
      <c r="O459" s="1"/>
      <c r="P459" s="1"/>
      <c r="Q459" s="1"/>
      <c r="R459" s="1"/>
      <c r="S459" s="1"/>
      <c r="T459" s="1"/>
    </row>
    <row r="460" spans="2:20" outlineLevel="4" x14ac:dyDescent="0.2">
      <c r="B460" s="1" t="s">
        <v>67</v>
      </c>
      <c r="E460" s="1"/>
      <c r="F460" s="1"/>
      <c r="G460" s="1"/>
      <c r="H460" s="13">
        <f>H715</f>
        <v>120</v>
      </c>
      <c r="I460" s="13">
        <f>I715</f>
        <v>132</v>
      </c>
      <c r="J460" s="13">
        <f t="shared" ref="J460:T460" si="714">J461*-J636/365</f>
        <v>175.56712124270825</v>
      </c>
      <c r="K460" s="13">
        <f t="shared" si="714"/>
        <v>201.84018071061928</v>
      </c>
      <c r="L460" s="13">
        <f t="shared" si="714"/>
        <v>229.40579796264475</v>
      </c>
      <c r="M460" s="13">
        <f t="shared" si="714"/>
        <v>253.56192414840473</v>
      </c>
      <c r="N460" s="13">
        <f t="shared" si="714"/>
        <v>271.61768796054491</v>
      </c>
      <c r="O460" s="13">
        <f t="shared" si="714"/>
        <v>288.91955587864322</v>
      </c>
      <c r="P460" s="13">
        <f t="shared" si="714"/>
        <v>303.27621350594046</v>
      </c>
      <c r="Q460" s="13">
        <f t="shared" si="714"/>
        <v>318.29102781015405</v>
      </c>
      <c r="R460" s="13">
        <f t="shared" si="714"/>
        <v>333.84715923606439</v>
      </c>
      <c r="S460" s="13">
        <f t="shared" si="714"/>
        <v>349.95572465201002</v>
      </c>
      <c r="T460" s="13">
        <f t="shared" si="714"/>
        <v>366.77863603260261</v>
      </c>
    </row>
    <row r="461" spans="2:20" outlineLevel="4" x14ac:dyDescent="0.2">
      <c r="C461" s="1" t="s">
        <v>252</v>
      </c>
      <c r="E461" s="1"/>
      <c r="F461" s="1"/>
      <c r="G461" s="1"/>
      <c r="H461" s="145">
        <f>365*(H460/-H$636)</f>
        <v>465.95744680851067</v>
      </c>
      <c r="I461" s="145">
        <f>365*(I460/-I$636)</f>
        <v>481.8</v>
      </c>
      <c r="J461" s="150">
        <f>I461</f>
        <v>481.8</v>
      </c>
      <c r="K461" s="150">
        <f t="shared" ref="K461:O461" si="715">J461</f>
        <v>481.8</v>
      </c>
      <c r="L461" s="150">
        <f t="shared" si="715"/>
        <v>481.8</v>
      </c>
      <c r="M461" s="150">
        <f t="shared" si="715"/>
        <v>481.8</v>
      </c>
      <c r="N461" s="150">
        <f t="shared" si="715"/>
        <v>481.8</v>
      </c>
      <c r="O461" s="150">
        <f t="shared" si="715"/>
        <v>481.8</v>
      </c>
      <c r="P461" s="150">
        <f t="shared" ref="P461" si="716">O461</f>
        <v>481.8</v>
      </c>
      <c r="Q461" s="150">
        <f t="shared" ref="Q461" si="717">P461</f>
        <v>481.8</v>
      </c>
      <c r="R461" s="150">
        <f t="shared" ref="R461" si="718">Q461</f>
        <v>481.8</v>
      </c>
      <c r="S461" s="150">
        <f t="shared" ref="S461" si="719">R461</f>
        <v>481.8</v>
      </c>
      <c r="T461" s="150">
        <f t="shared" ref="T461" si="720">S461</f>
        <v>481.8</v>
      </c>
    </row>
    <row r="462" spans="2:20" outlineLevel="4" x14ac:dyDescent="0.2">
      <c r="E462" s="1"/>
      <c r="F462" s="1"/>
      <c r="G462" s="1"/>
      <c r="H462" s="1"/>
      <c r="I462" s="1"/>
      <c r="J462" s="1"/>
      <c r="K462" s="1"/>
      <c r="L462" s="1"/>
      <c r="M462" s="1"/>
      <c r="N462" s="1"/>
      <c r="O462" s="1"/>
      <c r="P462" s="1"/>
      <c r="Q462" s="1"/>
      <c r="R462" s="1"/>
      <c r="S462" s="1"/>
      <c r="T462" s="1"/>
    </row>
    <row r="463" spans="2:20" outlineLevel="4" x14ac:dyDescent="0.2">
      <c r="B463" s="2" t="s">
        <v>297</v>
      </c>
      <c r="E463" s="1"/>
      <c r="F463" s="1"/>
      <c r="G463" s="1"/>
      <c r="H463" s="13">
        <f t="shared" ref="H463:O463" si="721">H455+H458-H461</f>
        <v>-428.48564120451113</v>
      </c>
      <c r="I463" s="13">
        <f t="shared" si="721"/>
        <v>-454.96316648531013</v>
      </c>
      <c r="J463" s="13">
        <f t="shared" si="721"/>
        <v>-454.96316648531013</v>
      </c>
      <c r="K463" s="13">
        <f t="shared" si="721"/>
        <v>-454.96316648531013</v>
      </c>
      <c r="L463" s="13">
        <f t="shared" si="721"/>
        <v>-454.96316648531013</v>
      </c>
      <c r="M463" s="13">
        <f t="shared" si="721"/>
        <v>-454.96316648531013</v>
      </c>
      <c r="N463" s="13">
        <f t="shared" si="721"/>
        <v>-454.96316648531013</v>
      </c>
      <c r="O463" s="13">
        <f t="shared" si="721"/>
        <v>-454.96316648531013</v>
      </c>
      <c r="P463" s="13">
        <f t="shared" ref="P463:T463" si="722">P455+P458-P461</f>
        <v>-454.96316648531013</v>
      </c>
      <c r="Q463" s="13">
        <f t="shared" si="722"/>
        <v>-454.96316648531013</v>
      </c>
      <c r="R463" s="13">
        <f t="shared" si="722"/>
        <v>-454.96316648531013</v>
      </c>
      <c r="S463" s="13">
        <f t="shared" si="722"/>
        <v>-454.96316648531013</v>
      </c>
      <c r="T463" s="13">
        <f t="shared" si="722"/>
        <v>-454.96316648531013</v>
      </c>
    </row>
    <row r="464" spans="2:20" outlineLevel="4" x14ac:dyDescent="0.2">
      <c r="E464" s="1"/>
      <c r="F464" s="1"/>
      <c r="G464" s="1"/>
      <c r="H464" s="1"/>
      <c r="I464" s="1"/>
      <c r="J464" s="1"/>
      <c r="K464" s="1"/>
      <c r="L464" s="1"/>
      <c r="M464" s="1"/>
      <c r="N464" s="1"/>
      <c r="O464" s="1"/>
      <c r="P464" s="1"/>
      <c r="Q464" s="1"/>
      <c r="R464" s="1"/>
      <c r="S464" s="1"/>
      <c r="T464" s="1"/>
    </row>
    <row r="465" spans="2:22" outlineLevel="4" x14ac:dyDescent="0.2">
      <c r="B465" s="142" t="s">
        <v>213</v>
      </c>
      <c r="C465" s="143"/>
      <c r="D465" s="144"/>
      <c r="E465" s="143"/>
      <c r="F465" s="143"/>
      <c r="G465" s="143"/>
      <c r="H465" s="143"/>
      <c r="I465" s="143"/>
      <c r="J465" s="143"/>
      <c r="K465" s="143"/>
      <c r="L465" s="143"/>
      <c r="M465" s="143"/>
      <c r="N465" s="143"/>
      <c r="O465" s="143"/>
      <c r="P465" s="143"/>
      <c r="Q465" s="143"/>
      <c r="R465" s="143"/>
      <c r="S465" s="143"/>
      <c r="T465" s="143"/>
    </row>
    <row r="466" spans="2:22" outlineLevel="4" x14ac:dyDescent="0.2">
      <c r="B466" s="2"/>
      <c r="E466" s="1"/>
      <c r="F466" s="1"/>
      <c r="G466" s="1"/>
      <c r="H466" s="1"/>
      <c r="I466" s="1"/>
      <c r="J466" s="1"/>
      <c r="K466" s="1"/>
      <c r="L466" s="1"/>
      <c r="M466" s="1"/>
      <c r="N466" s="1"/>
      <c r="O466" s="1"/>
      <c r="P466" s="1"/>
      <c r="Q466" s="1"/>
      <c r="R466" s="1"/>
      <c r="S466" s="1"/>
      <c r="T466" s="1"/>
    </row>
    <row r="467" spans="2:22" outlineLevel="4" x14ac:dyDescent="0.2">
      <c r="B467" s="37" t="s">
        <v>106</v>
      </c>
      <c r="C467" s="6"/>
      <c r="D467" s="169"/>
      <c r="E467" s="6"/>
      <c r="F467" s="6"/>
      <c r="G467" s="6"/>
      <c r="H467" s="6"/>
      <c r="I467" s="6"/>
      <c r="J467" s="6"/>
      <c r="K467" s="6"/>
      <c r="L467" s="6"/>
      <c r="M467" s="6"/>
      <c r="N467" s="6"/>
      <c r="O467" s="6"/>
      <c r="P467" s="6"/>
      <c r="Q467" s="6"/>
      <c r="R467" s="6"/>
      <c r="S467" s="6"/>
      <c r="T467" s="6"/>
    </row>
    <row r="468" spans="2:22" outlineLevel="4" x14ac:dyDescent="0.2">
      <c r="B468" s="37"/>
      <c r="C468" s="6" t="s">
        <v>209</v>
      </c>
      <c r="D468" s="169"/>
      <c r="E468" s="6"/>
      <c r="F468" s="6"/>
      <c r="G468" s="6"/>
      <c r="H468" s="6"/>
      <c r="I468" s="14">
        <f t="shared" ref="I468:J468" si="723">H470</f>
        <v>425</v>
      </c>
      <c r="J468" s="14">
        <f t="shared" si="723"/>
        <v>674</v>
      </c>
      <c r="K468" s="14">
        <f t="shared" ref="K468" si="724">J470</f>
        <v>654.98936795356803</v>
      </c>
      <c r="L468" s="14">
        <f t="shared" ref="L468" si="725">K470</f>
        <v>865.21310261125905</v>
      </c>
      <c r="M468" s="14">
        <f t="shared" ref="M468" si="726">L470</f>
        <v>1098.958946535437</v>
      </c>
      <c r="N468" s="14">
        <f t="shared" ref="N468" si="727">M470</f>
        <v>1362.7662510340811</v>
      </c>
      <c r="O468" s="14">
        <f t="shared" ref="O468" si="728">N470</f>
        <v>1659.1710668271658</v>
      </c>
      <c r="P468" s="14">
        <f t="shared" ref="P468" si="729">O470</f>
        <v>2000.5165820752036</v>
      </c>
      <c r="Q468" s="14">
        <f t="shared" ref="Q468" si="730">P470</f>
        <v>2391.7046157081936</v>
      </c>
      <c r="R468" s="14">
        <f t="shared" ref="R468" si="731">Q470</f>
        <v>2841.8341824222398</v>
      </c>
      <c r="S468" s="14">
        <f t="shared" ref="S468" si="732">R470</f>
        <v>3357.0596888627324</v>
      </c>
      <c r="T468" s="14">
        <f t="shared" ref="T468" si="733">S470</f>
        <v>3930.078465567381</v>
      </c>
    </row>
    <row r="469" spans="2:22" outlineLevel="4" x14ac:dyDescent="0.2">
      <c r="B469" s="37"/>
      <c r="C469" s="6" t="s">
        <v>222</v>
      </c>
      <c r="D469" s="169"/>
      <c r="E469" s="6"/>
      <c r="F469" s="6"/>
      <c r="G469" s="6"/>
      <c r="H469" s="6"/>
      <c r="I469" s="14">
        <f>I470-I468</f>
        <v>249</v>
      </c>
      <c r="J469" s="14">
        <f>J789</f>
        <v>-19.010632046431994</v>
      </c>
      <c r="K469" s="14">
        <f t="shared" ref="K469:O469" si="734">K789</f>
        <v>210.22373465769101</v>
      </c>
      <c r="L469" s="14">
        <f t="shared" si="734"/>
        <v>233.74584392417808</v>
      </c>
      <c r="M469" s="14">
        <f t="shared" si="734"/>
        <v>263.80730449864416</v>
      </c>
      <c r="N469" s="14">
        <f t="shared" si="734"/>
        <v>296.40481579308465</v>
      </c>
      <c r="O469" s="14">
        <f t="shared" si="734"/>
        <v>341.34551524803777</v>
      </c>
      <c r="P469" s="14">
        <f t="shared" ref="P469:T469" si="735">P789</f>
        <v>391.18803363299008</v>
      </c>
      <c r="Q469" s="14">
        <f t="shared" si="735"/>
        <v>450.12956671404635</v>
      </c>
      <c r="R469" s="14">
        <f t="shared" si="735"/>
        <v>515.22550644049261</v>
      </c>
      <c r="S469" s="14">
        <f t="shared" si="735"/>
        <v>573.01877670464853</v>
      </c>
      <c r="T469" s="14">
        <f t="shared" si="735"/>
        <v>633.42565960169668</v>
      </c>
    </row>
    <row r="470" spans="2:22" s="2" customFormat="1" outlineLevel="4" x14ac:dyDescent="0.2">
      <c r="B470" s="170"/>
      <c r="C470" s="170" t="s">
        <v>212</v>
      </c>
      <c r="D470" s="171"/>
      <c r="E470" s="170"/>
      <c r="F470" s="170"/>
      <c r="G470" s="170"/>
      <c r="H470" s="172">
        <f>H697</f>
        <v>425</v>
      </c>
      <c r="I470" s="172">
        <f>I697</f>
        <v>674</v>
      </c>
      <c r="J470" s="172">
        <f>SUM(J468:J469)</f>
        <v>654.98936795356803</v>
      </c>
      <c r="K470" s="172">
        <f t="shared" ref="K470:O470" si="736">SUM(K468:K469)</f>
        <v>865.21310261125905</v>
      </c>
      <c r="L470" s="172">
        <f t="shared" si="736"/>
        <v>1098.958946535437</v>
      </c>
      <c r="M470" s="172">
        <f t="shared" si="736"/>
        <v>1362.7662510340811</v>
      </c>
      <c r="N470" s="172">
        <f t="shared" si="736"/>
        <v>1659.1710668271658</v>
      </c>
      <c r="O470" s="172">
        <f t="shared" si="736"/>
        <v>2000.5165820752036</v>
      </c>
      <c r="P470" s="172">
        <f t="shared" ref="P470:T470" si="737">SUM(P468:P469)</f>
        <v>2391.7046157081936</v>
      </c>
      <c r="Q470" s="172">
        <f t="shared" si="737"/>
        <v>2841.8341824222398</v>
      </c>
      <c r="R470" s="172">
        <f t="shared" si="737"/>
        <v>3357.0596888627324</v>
      </c>
      <c r="S470" s="172">
        <f t="shared" si="737"/>
        <v>3930.078465567381</v>
      </c>
      <c r="T470" s="172">
        <f t="shared" si="737"/>
        <v>4563.5041251690782</v>
      </c>
    </row>
    <row r="471" spans="2:22" outlineLevel="4" x14ac:dyDescent="0.2">
      <c r="B471" s="2"/>
      <c r="C471" s="1" t="s">
        <v>241</v>
      </c>
      <c r="E471" s="1"/>
      <c r="F471" s="1"/>
      <c r="G471" s="1"/>
      <c r="H471" s="154">
        <f t="shared" ref="H471:T471" si="738">IFERROR(H470/H$604,"")</f>
        <v>0.46448087431693991</v>
      </c>
      <c r="I471" s="154">
        <f t="shared" si="738"/>
        <v>0.73340587595212192</v>
      </c>
      <c r="J471" s="154">
        <f t="shared" si="738"/>
        <v>0.63434835466382611</v>
      </c>
      <c r="K471" s="154">
        <f t="shared" si="738"/>
        <v>0.77131117866800425</v>
      </c>
      <c r="L471" s="154">
        <f t="shared" si="738"/>
        <v>0.90939373734137019</v>
      </c>
      <c r="M471" s="154">
        <f t="shared" si="738"/>
        <v>1.0557348134741686</v>
      </c>
      <c r="N471" s="154">
        <f t="shared" si="738"/>
        <v>1.2241049851249777</v>
      </c>
      <c r="O471" s="154">
        <f t="shared" si="738"/>
        <v>1.4058364899926099</v>
      </c>
      <c r="P471" s="154">
        <f t="shared" si="738"/>
        <v>1.6011749507810493</v>
      </c>
      <c r="Q471" s="154">
        <f t="shared" si="738"/>
        <v>1.8127751198073403</v>
      </c>
      <c r="R471" s="154">
        <f t="shared" si="738"/>
        <v>2.0416484943949147</v>
      </c>
      <c r="S471" s="154">
        <f t="shared" si="738"/>
        <v>2.2801200518803384</v>
      </c>
      <c r="T471" s="154">
        <f t="shared" si="738"/>
        <v>2.526178363166617</v>
      </c>
    </row>
    <row r="472" spans="2:22" outlineLevel="4" x14ac:dyDescent="0.2">
      <c r="B472" s="2"/>
      <c r="E472" s="1"/>
      <c r="F472" s="1"/>
      <c r="G472" s="1"/>
      <c r="H472" s="1"/>
      <c r="I472" s="1"/>
      <c r="J472" s="1"/>
      <c r="K472" s="1"/>
      <c r="L472" s="1"/>
      <c r="M472" s="1"/>
      <c r="N472" s="1"/>
      <c r="O472" s="1"/>
      <c r="P472" s="1"/>
      <c r="Q472" s="1"/>
      <c r="R472" s="1"/>
      <c r="S472" s="1"/>
      <c r="T472" s="1"/>
    </row>
    <row r="473" spans="2:22" outlineLevel="4" x14ac:dyDescent="0.2">
      <c r="B473" s="3" t="s">
        <v>254</v>
      </c>
      <c r="E473" s="1"/>
      <c r="F473" s="1"/>
      <c r="G473" s="1"/>
      <c r="H473" s="1"/>
      <c r="I473" s="52">
        <f>I474/I468</f>
        <v>9.4117647058823528E-2</v>
      </c>
      <c r="J473" s="128">
        <f>I473</f>
        <v>9.4117647058823528E-2</v>
      </c>
      <c r="K473" s="128">
        <f t="shared" ref="K473:O473" si="739">J473</f>
        <v>9.4117647058823528E-2</v>
      </c>
      <c r="L473" s="128">
        <f t="shared" si="739"/>
        <v>9.4117647058823528E-2</v>
      </c>
      <c r="M473" s="128">
        <f t="shared" si="739"/>
        <v>9.4117647058823528E-2</v>
      </c>
      <c r="N473" s="128">
        <f t="shared" si="739"/>
        <v>9.4117647058823528E-2</v>
      </c>
      <c r="O473" s="128">
        <f t="shared" si="739"/>
        <v>9.4117647058823528E-2</v>
      </c>
      <c r="P473" s="128">
        <f t="shared" ref="P473" si="740">O473</f>
        <v>9.4117647058823528E-2</v>
      </c>
      <c r="Q473" s="128">
        <f t="shared" ref="Q473" si="741">P473</f>
        <v>9.4117647058823528E-2</v>
      </c>
      <c r="R473" s="128">
        <f t="shared" ref="R473" si="742">Q473</f>
        <v>9.4117647058823528E-2</v>
      </c>
      <c r="S473" s="128">
        <f t="shared" ref="S473" si="743">R473</f>
        <v>9.4117647058823528E-2</v>
      </c>
      <c r="T473" s="128">
        <f t="shared" ref="T473" si="744">S473</f>
        <v>9.4117647058823528E-2</v>
      </c>
    </row>
    <row r="474" spans="2:22" outlineLevel="4" x14ac:dyDescent="0.2">
      <c r="B474" s="3" t="s">
        <v>255</v>
      </c>
      <c r="E474" s="1"/>
      <c r="F474" s="1"/>
      <c r="G474" s="1"/>
      <c r="H474" s="13">
        <f>H655</f>
        <v>35</v>
      </c>
      <c r="I474" s="13">
        <f>I655</f>
        <v>40</v>
      </c>
      <c r="J474" s="13">
        <f>J468*J473</f>
        <v>63.435294117647061</v>
      </c>
      <c r="K474" s="13">
        <f>K468*K473</f>
        <v>61.646058160335812</v>
      </c>
      <c r="L474" s="13">
        <f t="shared" ref="L474:O474" si="745">L468*L473</f>
        <v>81.431821422236141</v>
      </c>
      <c r="M474" s="13">
        <f t="shared" si="745"/>
        <v>103.43143026215877</v>
      </c>
      <c r="N474" s="13">
        <f t="shared" si="745"/>
        <v>128.26035303850173</v>
      </c>
      <c r="O474" s="13">
        <f t="shared" si="745"/>
        <v>156.1572768778509</v>
      </c>
      <c r="P474" s="13">
        <f t="shared" ref="P474:T474" si="746">P468*P473</f>
        <v>188.28391360707798</v>
      </c>
      <c r="Q474" s="13">
        <f t="shared" si="746"/>
        <v>225.10161089018291</v>
      </c>
      <c r="R474" s="13">
        <f t="shared" si="746"/>
        <v>267.46674658091666</v>
      </c>
      <c r="S474" s="13">
        <f t="shared" si="746"/>
        <v>315.95855895178659</v>
      </c>
      <c r="T474" s="13">
        <f t="shared" si="746"/>
        <v>369.88973793575349</v>
      </c>
    </row>
    <row r="475" spans="2:22" outlineLevel="4" x14ac:dyDescent="0.2">
      <c r="B475" s="2"/>
      <c r="E475" s="1"/>
      <c r="F475" s="1"/>
      <c r="G475" s="1"/>
      <c r="H475" s="1"/>
      <c r="I475" s="1"/>
      <c r="J475" s="1"/>
      <c r="K475" s="1"/>
      <c r="L475" s="1"/>
      <c r="M475" s="1"/>
      <c r="N475" s="1"/>
      <c r="O475" s="1"/>
      <c r="P475" s="1"/>
      <c r="Q475" s="1"/>
      <c r="R475" s="1"/>
      <c r="S475" s="1"/>
      <c r="T475" s="1"/>
    </row>
    <row r="476" spans="2:22" hidden="1" outlineLevel="5" x14ac:dyDescent="0.2">
      <c r="B476" s="274" t="s">
        <v>269</v>
      </c>
      <c r="C476" s="335"/>
      <c r="E476" s="1"/>
      <c r="F476" s="1"/>
      <c r="G476" s="1"/>
      <c r="H476" s="1"/>
      <c r="I476" s="336">
        <v>450</v>
      </c>
      <c r="J476" s="276"/>
      <c r="K476" s="276"/>
      <c r="L476" s="335"/>
      <c r="M476" s="335"/>
      <c r="N476" s="335"/>
      <c r="O476" s="335"/>
      <c r="P476" s="335"/>
      <c r="Q476" s="335"/>
      <c r="R476" s="335"/>
      <c r="S476" s="335"/>
      <c r="T476" s="335"/>
      <c r="V476" s="2" t="s">
        <v>598</v>
      </c>
    </row>
    <row r="477" spans="2:22" hidden="1" outlineLevel="5" x14ac:dyDescent="0.2">
      <c r="B477" s="335" t="s">
        <v>271</v>
      </c>
      <c r="C477" s="335"/>
      <c r="E477" s="1"/>
      <c r="F477" s="1"/>
      <c r="G477" s="1"/>
      <c r="H477" s="1"/>
      <c r="I477" s="335"/>
      <c r="J477" s="276">
        <f t="shared" ref="J477:T477" si="747">I470+J768+J774+J779+J780+J787-$I$476</f>
        <v>269.58936795356817</v>
      </c>
      <c r="K477" s="276">
        <f t="shared" si="747"/>
        <v>415.21310261125905</v>
      </c>
      <c r="L477" s="276">
        <f t="shared" si="747"/>
        <v>648.95894653543701</v>
      </c>
      <c r="M477" s="276">
        <f t="shared" si="747"/>
        <v>912.76625103408105</v>
      </c>
      <c r="N477" s="276">
        <f t="shared" si="747"/>
        <v>1209.1710668271655</v>
      </c>
      <c r="O477" s="276">
        <f t="shared" si="747"/>
        <v>1550.5165820752038</v>
      </c>
      <c r="P477" s="276">
        <f t="shared" si="747"/>
        <v>1941.7046157081936</v>
      </c>
      <c r="Q477" s="276">
        <f t="shared" si="747"/>
        <v>2391.8341824222398</v>
      </c>
      <c r="R477" s="276">
        <f t="shared" si="747"/>
        <v>2907.0596888627324</v>
      </c>
      <c r="S477" s="276">
        <f t="shared" si="747"/>
        <v>3480.0784655673806</v>
      </c>
      <c r="T477" s="276">
        <f t="shared" si="747"/>
        <v>4113.5041251690773</v>
      </c>
      <c r="V477" s="1" t="s">
        <v>270</v>
      </c>
    </row>
    <row r="478" spans="2:22" s="2" customFormat="1" hidden="1" outlineLevel="5" x14ac:dyDescent="0.2">
      <c r="B478" s="274" t="s">
        <v>279</v>
      </c>
      <c r="C478" s="274"/>
      <c r="D478" s="44"/>
      <c r="I478" s="274"/>
      <c r="J478" s="337">
        <f t="shared" ref="J478" si="748">IF(J477&lt;0,-J477,-MIN(J483,J477))</f>
        <v>-225</v>
      </c>
      <c r="K478" s="337">
        <f t="shared" ref="K478:T478" si="749">IF(K477&lt;0,-K477,-MIN(K483,K477))</f>
        <v>-238</v>
      </c>
      <c r="L478" s="337">
        <f t="shared" si="749"/>
        <v>-238</v>
      </c>
      <c r="M478" s="337">
        <f t="shared" si="749"/>
        <v>-238</v>
      </c>
      <c r="N478" s="337">
        <f t="shared" si="749"/>
        <v>-238</v>
      </c>
      <c r="O478" s="337">
        <f t="shared" si="749"/>
        <v>-238</v>
      </c>
      <c r="P478" s="337">
        <f t="shared" si="749"/>
        <v>-238</v>
      </c>
      <c r="Q478" s="337">
        <f t="shared" si="749"/>
        <v>-238</v>
      </c>
      <c r="R478" s="337">
        <f t="shared" si="749"/>
        <v>-238</v>
      </c>
      <c r="S478" s="337">
        <f t="shared" si="749"/>
        <v>-238</v>
      </c>
      <c r="T478" s="337">
        <f t="shared" si="749"/>
        <v>-238</v>
      </c>
      <c r="V478" s="2" t="s">
        <v>597</v>
      </c>
    </row>
    <row r="479" spans="2:22" outlineLevel="4" collapsed="1" x14ac:dyDescent="0.2">
      <c r="B479" s="3"/>
      <c r="E479" s="1"/>
      <c r="F479" s="1"/>
      <c r="G479" s="1"/>
      <c r="H479" s="1"/>
      <c r="I479" s="1"/>
      <c r="J479" s="13"/>
      <c r="K479" s="13"/>
      <c r="L479" s="13"/>
      <c r="M479" s="13"/>
      <c r="N479" s="13"/>
      <c r="O479" s="13"/>
      <c r="P479" s="13"/>
      <c r="Q479" s="13"/>
      <c r="R479" s="13"/>
      <c r="S479" s="13"/>
      <c r="T479" s="13"/>
    </row>
    <row r="480" spans="2:22" outlineLevel="4" x14ac:dyDescent="0.2">
      <c r="B480" s="37" t="s">
        <v>293</v>
      </c>
      <c r="C480" s="6"/>
      <c r="E480" s="1"/>
      <c r="F480" s="1"/>
      <c r="G480" s="1"/>
      <c r="H480" s="1"/>
      <c r="I480" s="1"/>
      <c r="J480" s="13"/>
      <c r="K480" s="13"/>
      <c r="L480" s="13"/>
      <c r="M480" s="13"/>
      <c r="N480" s="13"/>
      <c r="O480" s="13"/>
      <c r="P480" s="13"/>
      <c r="Q480" s="13"/>
      <c r="R480" s="13"/>
      <c r="S480" s="13"/>
      <c r="T480" s="13"/>
    </row>
    <row r="481" spans="2:20" outlineLevel="4" x14ac:dyDescent="0.2">
      <c r="B481" s="2"/>
      <c r="E481" s="1"/>
      <c r="F481" s="1"/>
      <c r="G481" s="1"/>
      <c r="H481" s="1"/>
      <c r="I481" s="1"/>
      <c r="J481" s="13"/>
      <c r="K481" s="13"/>
      <c r="L481" s="13"/>
      <c r="M481" s="13"/>
      <c r="N481" s="13"/>
      <c r="O481" s="13"/>
      <c r="P481" s="13"/>
      <c r="Q481" s="13"/>
      <c r="R481" s="13"/>
      <c r="S481" s="13"/>
      <c r="T481" s="13"/>
    </row>
    <row r="482" spans="2:20" outlineLevel="4" x14ac:dyDescent="0.2">
      <c r="B482" s="59" t="s">
        <v>219</v>
      </c>
      <c r="C482" s="61"/>
      <c r="E482" s="1"/>
      <c r="F482" s="1"/>
      <c r="G482" s="1"/>
      <c r="H482" s="1"/>
      <c r="I482" s="1"/>
      <c r="J482" s="1"/>
      <c r="K482" s="1"/>
      <c r="L482" s="1"/>
      <c r="M482" s="1"/>
      <c r="N482" s="1"/>
      <c r="O482" s="1"/>
      <c r="P482" s="1"/>
      <c r="Q482" s="1"/>
      <c r="R482" s="1"/>
      <c r="S482" s="1"/>
      <c r="T482" s="1"/>
    </row>
    <row r="483" spans="2:20" outlineLevel="4" x14ac:dyDescent="0.2">
      <c r="B483" s="59"/>
      <c r="C483" s="61" t="s">
        <v>209</v>
      </c>
      <c r="E483" s="13"/>
      <c r="F483" s="13"/>
      <c r="G483" s="13"/>
      <c r="H483" s="13"/>
      <c r="I483" s="13">
        <f>H485</f>
        <v>815</v>
      </c>
      <c r="J483" s="13">
        <f>I485</f>
        <v>225</v>
      </c>
      <c r="K483" s="13">
        <f>J485</f>
        <v>238</v>
      </c>
      <c r="L483" s="13">
        <f t="shared" ref="L483:O483" si="750">K485</f>
        <v>238</v>
      </c>
      <c r="M483" s="13">
        <f t="shared" si="750"/>
        <v>238</v>
      </c>
      <c r="N483" s="13">
        <f t="shared" si="750"/>
        <v>238</v>
      </c>
      <c r="O483" s="13">
        <f t="shared" si="750"/>
        <v>238</v>
      </c>
      <c r="P483" s="13">
        <f t="shared" ref="P483" si="751">O485</f>
        <v>238</v>
      </c>
      <c r="Q483" s="13">
        <f t="shared" ref="Q483" si="752">P485</f>
        <v>238</v>
      </c>
      <c r="R483" s="13">
        <f t="shared" ref="R483" si="753">Q485</f>
        <v>238</v>
      </c>
      <c r="S483" s="13">
        <f t="shared" ref="S483" si="754">R485</f>
        <v>238</v>
      </c>
      <c r="T483" s="13">
        <f t="shared" ref="T483" si="755">S485</f>
        <v>238</v>
      </c>
    </row>
    <row r="484" spans="2:20" outlineLevel="4" x14ac:dyDescent="0.2">
      <c r="B484" s="59"/>
      <c r="C484" s="156" t="s">
        <v>278</v>
      </c>
      <c r="E484" s="13"/>
      <c r="F484" s="13"/>
      <c r="G484" s="13"/>
      <c r="H484" s="13"/>
      <c r="I484" s="13">
        <f>I485-I483</f>
        <v>-590</v>
      </c>
      <c r="J484" s="152">
        <f>J375</f>
        <v>13</v>
      </c>
      <c r="K484" s="88">
        <v>0</v>
      </c>
      <c r="L484" s="88">
        <v>0</v>
      </c>
      <c r="M484" s="88">
        <v>0</v>
      </c>
      <c r="N484" s="88">
        <v>0</v>
      </c>
      <c r="O484" s="88">
        <v>0</v>
      </c>
      <c r="P484" s="88">
        <v>0</v>
      </c>
      <c r="Q484" s="88">
        <v>0</v>
      </c>
      <c r="R484" s="88">
        <v>0</v>
      </c>
      <c r="S484" s="88">
        <v>0</v>
      </c>
      <c r="T484" s="88">
        <v>0</v>
      </c>
    </row>
    <row r="485" spans="2:20" outlineLevel="4" x14ac:dyDescent="0.2">
      <c r="B485" s="63"/>
      <c r="C485" s="157" t="s">
        <v>212</v>
      </c>
      <c r="D485" s="47"/>
      <c r="E485" s="49"/>
      <c r="F485" s="49"/>
      <c r="G485" s="49"/>
      <c r="H485" s="49">
        <f>H708</f>
        <v>815</v>
      </c>
      <c r="I485" s="49">
        <f>I708</f>
        <v>225</v>
      </c>
      <c r="J485" s="49">
        <f t="shared" ref="J485:O485" si="756">SUM(J483:J484)</f>
        <v>238</v>
      </c>
      <c r="K485" s="49">
        <f t="shared" si="756"/>
        <v>238</v>
      </c>
      <c r="L485" s="49">
        <f t="shared" si="756"/>
        <v>238</v>
      </c>
      <c r="M485" s="49">
        <f t="shared" si="756"/>
        <v>238</v>
      </c>
      <c r="N485" s="49">
        <f t="shared" si="756"/>
        <v>238</v>
      </c>
      <c r="O485" s="49">
        <f t="shared" si="756"/>
        <v>238</v>
      </c>
      <c r="P485" s="49">
        <f t="shared" ref="P485:T485" si="757">SUM(P483:P484)</f>
        <v>238</v>
      </c>
      <c r="Q485" s="49">
        <f t="shared" si="757"/>
        <v>238</v>
      </c>
      <c r="R485" s="49">
        <f t="shared" si="757"/>
        <v>238</v>
      </c>
      <c r="S485" s="49">
        <f t="shared" si="757"/>
        <v>238</v>
      </c>
      <c r="T485" s="49">
        <f t="shared" si="757"/>
        <v>238</v>
      </c>
    </row>
    <row r="486" spans="2:20" outlineLevel="4" x14ac:dyDescent="0.2">
      <c r="B486" s="59"/>
      <c r="C486" s="61"/>
      <c r="E486" s="13"/>
      <c r="F486" s="13"/>
      <c r="G486" s="13"/>
      <c r="H486" s="13"/>
      <c r="I486" s="13"/>
      <c r="J486" s="13"/>
      <c r="K486" s="13"/>
      <c r="L486" s="13"/>
      <c r="M486" s="13"/>
      <c r="N486" s="13"/>
      <c r="O486" s="13"/>
      <c r="P486" s="13"/>
      <c r="Q486" s="13"/>
      <c r="R486" s="13"/>
      <c r="S486" s="13"/>
      <c r="T486" s="13"/>
    </row>
    <row r="487" spans="2:20" outlineLevel="4" x14ac:dyDescent="0.2">
      <c r="B487" s="59" t="s">
        <v>220</v>
      </c>
      <c r="C487" s="61"/>
      <c r="E487" s="1"/>
      <c r="F487" s="1"/>
      <c r="G487" s="1"/>
      <c r="H487" s="1"/>
      <c r="I487" s="1"/>
      <c r="J487" s="1"/>
      <c r="K487" s="1"/>
      <c r="L487" s="1"/>
      <c r="M487" s="1"/>
      <c r="N487" s="1"/>
      <c r="O487" s="1"/>
      <c r="P487" s="1"/>
      <c r="Q487" s="1"/>
      <c r="R487" s="1"/>
      <c r="S487" s="1"/>
      <c r="T487" s="1"/>
    </row>
    <row r="488" spans="2:20" outlineLevel="4" x14ac:dyDescent="0.2">
      <c r="B488" s="59"/>
      <c r="C488" s="61" t="s">
        <v>209</v>
      </c>
      <c r="E488" s="1"/>
      <c r="F488" s="1"/>
      <c r="G488" s="1"/>
      <c r="H488" s="1"/>
      <c r="I488" s="13">
        <f>H490</f>
        <v>83</v>
      </c>
      <c r="J488" s="13">
        <f>I490</f>
        <v>669</v>
      </c>
      <c r="K488" s="13">
        <f t="shared" ref="K488:O488" si="758">J490</f>
        <v>91</v>
      </c>
      <c r="L488" s="13">
        <f t="shared" si="758"/>
        <v>91</v>
      </c>
      <c r="M488" s="13">
        <f t="shared" si="758"/>
        <v>91</v>
      </c>
      <c r="N488" s="13">
        <f t="shared" si="758"/>
        <v>91</v>
      </c>
      <c r="O488" s="13">
        <f t="shared" si="758"/>
        <v>91</v>
      </c>
      <c r="P488" s="13">
        <f t="shared" ref="P488" si="759">O490</f>
        <v>91</v>
      </c>
      <c r="Q488" s="13">
        <f t="shared" ref="Q488" si="760">P490</f>
        <v>91</v>
      </c>
      <c r="R488" s="13">
        <f t="shared" ref="R488" si="761">Q490</f>
        <v>91</v>
      </c>
      <c r="S488" s="13">
        <f t="shared" ref="S488" si="762">R490</f>
        <v>91</v>
      </c>
      <c r="T488" s="13">
        <f t="shared" ref="T488" si="763">S490</f>
        <v>91</v>
      </c>
    </row>
    <row r="489" spans="2:20" outlineLevel="4" x14ac:dyDescent="0.2">
      <c r="B489" s="59"/>
      <c r="C489" s="156" t="s">
        <v>277</v>
      </c>
      <c r="E489" s="13"/>
      <c r="F489" s="13"/>
      <c r="G489" s="13"/>
      <c r="H489" s="13"/>
      <c r="I489" s="13">
        <f>I490-I488</f>
        <v>586</v>
      </c>
      <c r="J489" s="152">
        <f>J376</f>
        <v>-578</v>
      </c>
      <c r="K489" s="88">
        <v>0</v>
      </c>
      <c r="L489" s="88">
        <v>0</v>
      </c>
      <c r="M489" s="88">
        <v>0</v>
      </c>
      <c r="N489" s="88">
        <v>0</v>
      </c>
      <c r="O489" s="88">
        <v>0</v>
      </c>
      <c r="P489" s="88">
        <v>0</v>
      </c>
      <c r="Q489" s="88">
        <v>0</v>
      </c>
      <c r="R489" s="88">
        <v>0</v>
      </c>
      <c r="S489" s="88">
        <v>0</v>
      </c>
      <c r="T489" s="88">
        <v>0</v>
      </c>
    </row>
    <row r="490" spans="2:20" outlineLevel="4" x14ac:dyDescent="0.2">
      <c r="B490" s="63"/>
      <c r="C490" s="157" t="s">
        <v>212</v>
      </c>
      <c r="D490" s="47"/>
      <c r="E490" s="49"/>
      <c r="F490" s="49"/>
      <c r="G490" s="49"/>
      <c r="H490" s="49">
        <f>H716</f>
        <v>83</v>
      </c>
      <c r="I490" s="49">
        <f>I716</f>
        <v>669</v>
      </c>
      <c r="J490" s="49">
        <f>SUM(J488:J489)</f>
        <v>91</v>
      </c>
      <c r="K490" s="49">
        <f t="shared" ref="K490:O490" si="764">SUM(K488:K489)</f>
        <v>91</v>
      </c>
      <c r="L490" s="49">
        <f t="shared" si="764"/>
        <v>91</v>
      </c>
      <c r="M490" s="49">
        <f t="shared" si="764"/>
        <v>91</v>
      </c>
      <c r="N490" s="49">
        <f t="shared" si="764"/>
        <v>91</v>
      </c>
      <c r="O490" s="49">
        <f t="shared" si="764"/>
        <v>91</v>
      </c>
      <c r="P490" s="49">
        <f t="shared" ref="P490:T490" si="765">SUM(P488:P489)</f>
        <v>91</v>
      </c>
      <c r="Q490" s="49">
        <f t="shared" si="765"/>
        <v>91</v>
      </c>
      <c r="R490" s="49">
        <f t="shared" si="765"/>
        <v>91</v>
      </c>
      <c r="S490" s="49">
        <f t="shared" si="765"/>
        <v>91</v>
      </c>
      <c r="T490" s="49">
        <f t="shared" si="765"/>
        <v>91</v>
      </c>
    </row>
    <row r="491" spans="2:20" outlineLevel="4" x14ac:dyDescent="0.2">
      <c r="B491" s="2"/>
      <c r="E491" s="13"/>
      <c r="F491" s="13"/>
      <c r="G491" s="13"/>
      <c r="H491" s="13"/>
      <c r="I491" s="13"/>
      <c r="J491" s="13"/>
      <c r="K491" s="13"/>
      <c r="L491" s="13"/>
      <c r="M491" s="13"/>
      <c r="N491" s="13"/>
      <c r="O491" s="13"/>
      <c r="P491" s="13"/>
      <c r="Q491" s="13"/>
      <c r="R491" s="13"/>
      <c r="S491" s="13"/>
      <c r="T491" s="13"/>
    </row>
    <row r="492" spans="2:20" outlineLevel="4" x14ac:dyDescent="0.2">
      <c r="B492" s="37" t="s">
        <v>221</v>
      </c>
      <c r="C492" s="6"/>
      <c r="D492" s="169"/>
      <c r="E492" s="14"/>
      <c r="F492" s="14"/>
      <c r="G492" s="14"/>
      <c r="H492" s="14"/>
      <c r="I492" s="14"/>
      <c r="J492" s="14"/>
      <c r="K492" s="14"/>
      <c r="L492" s="14"/>
      <c r="M492" s="14"/>
      <c r="N492" s="14"/>
      <c r="O492" s="14"/>
      <c r="P492" s="14"/>
      <c r="Q492" s="14"/>
      <c r="R492" s="14"/>
      <c r="S492" s="14"/>
      <c r="T492" s="14"/>
    </row>
    <row r="493" spans="2:20" outlineLevel="4" x14ac:dyDescent="0.2">
      <c r="B493" s="37"/>
      <c r="C493" s="6" t="s">
        <v>209</v>
      </c>
      <c r="D493" s="169"/>
      <c r="E493" s="14"/>
      <c r="F493" s="14"/>
      <c r="G493" s="14"/>
      <c r="H493" s="14"/>
      <c r="I493" s="14">
        <f t="shared" ref="I493:O493" si="766">I483+I488</f>
        <v>898</v>
      </c>
      <c r="J493" s="14">
        <f t="shared" si="766"/>
        <v>894</v>
      </c>
      <c r="K493" s="14">
        <f t="shared" si="766"/>
        <v>329</v>
      </c>
      <c r="L493" s="14">
        <f t="shared" si="766"/>
        <v>329</v>
      </c>
      <c r="M493" s="14">
        <f t="shared" si="766"/>
        <v>329</v>
      </c>
      <c r="N493" s="14">
        <f t="shared" si="766"/>
        <v>329</v>
      </c>
      <c r="O493" s="14">
        <f t="shared" si="766"/>
        <v>329</v>
      </c>
      <c r="P493" s="14">
        <f t="shared" ref="P493:T493" si="767">P483+P488</f>
        <v>329</v>
      </c>
      <c r="Q493" s="14">
        <f t="shared" si="767"/>
        <v>329</v>
      </c>
      <c r="R493" s="14">
        <f t="shared" si="767"/>
        <v>329</v>
      </c>
      <c r="S493" s="14">
        <f t="shared" si="767"/>
        <v>329</v>
      </c>
      <c r="T493" s="14">
        <f t="shared" si="767"/>
        <v>329</v>
      </c>
    </row>
    <row r="494" spans="2:20" outlineLevel="4" x14ac:dyDescent="0.2">
      <c r="B494" s="37"/>
      <c r="C494" s="6" t="s">
        <v>222</v>
      </c>
      <c r="D494" s="169"/>
      <c r="E494" s="14"/>
      <c r="F494" s="14"/>
      <c r="G494" s="14"/>
      <c r="H494" s="14"/>
      <c r="I494" s="14">
        <f>I495-I493</f>
        <v>-4</v>
      </c>
      <c r="J494" s="14">
        <f t="shared" ref="J494:O494" si="768">J495-J493</f>
        <v>-565</v>
      </c>
      <c r="K494" s="14">
        <f t="shared" si="768"/>
        <v>0</v>
      </c>
      <c r="L494" s="14">
        <f t="shared" si="768"/>
        <v>0</v>
      </c>
      <c r="M494" s="14">
        <f t="shared" si="768"/>
        <v>0</v>
      </c>
      <c r="N494" s="14">
        <f t="shared" si="768"/>
        <v>0</v>
      </c>
      <c r="O494" s="14">
        <f t="shared" si="768"/>
        <v>0</v>
      </c>
      <c r="P494" s="14">
        <f t="shared" ref="P494:T494" si="769">P495-P493</f>
        <v>0</v>
      </c>
      <c r="Q494" s="14">
        <f t="shared" si="769"/>
        <v>0</v>
      </c>
      <c r="R494" s="14">
        <f t="shared" si="769"/>
        <v>0</v>
      </c>
      <c r="S494" s="14">
        <f t="shared" si="769"/>
        <v>0</v>
      </c>
      <c r="T494" s="14">
        <f t="shared" si="769"/>
        <v>0</v>
      </c>
    </row>
    <row r="495" spans="2:20" outlineLevel="4" x14ac:dyDescent="0.2">
      <c r="B495" s="170"/>
      <c r="C495" s="170" t="s">
        <v>212</v>
      </c>
      <c r="D495" s="171"/>
      <c r="E495" s="172"/>
      <c r="F495" s="172"/>
      <c r="G495" s="172"/>
      <c r="H495" s="172">
        <f>H485+H490</f>
        <v>898</v>
      </c>
      <c r="I495" s="172">
        <f>I485+I490</f>
        <v>894</v>
      </c>
      <c r="J495" s="172">
        <f>J485+J490</f>
        <v>329</v>
      </c>
      <c r="K495" s="172">
        <f t="shared" ref="K495:O495" si="770">K485+K490</f>
        <v>329</v>
      </c>
      <c r="L495" s="172">
        <f t="shared" si="770"/>
        <v>329</v>
      </c>
      <c r="M495" s="172">
        <f t="shared" si="770"/>
        <v>329</v>
      </c>
      <c r="N495" s="172">
        <f t="shared" si="770"/>
        <v>329</v>
      </c>
      <c r="O495" s="172">
        <f t="shared" si="770"/>
        <v>329</v>
      </c>
      <c r="P495" s="172">
        <f t="shared" ref="P495:T495" si="771">P485+P490</f>
        <v>329</v>
      </c>
      <c r="Q495" s="172">
        <f t="shared" si="771"/>
        <v>329</v>
      </c>
      <c r="R495" s="172">
        <f t="shared" si="771"/>
        <v>329</v>
      </c>
      <c r="S495" s="172">
        <f t="shared" si="771"/>
        <v>329</v>
      </c>
      <c r="T495" s="172">
        <f t="shared" si="771"/>
        <v>329</v>
      </c>
    </row>
    <row r="496" spans="2:20" outlineLevel="4" x14ac:dyDescent="0.2">
      <c r="B496" s="2"/>
      <c r="E496" s="1"/>
      <c r="F496" s="1"/>
      <c r="G496" s="1"/>
      <c r="H496" s="1"/>
      <c r="I496" s="1"/>
      <c r="J496" s="1"/>
      <c r="K496" s="1"/>
      <c r="L496" s="1"/>
      <c r="M496" s="1"/>
      <c r="N496" s="1"/>
      <c r="O496" s="1"/>
      <c r="P496" s="1"/>
      <c r="Q496" s="1"/>
      <c r="R496" s="1"/>
      <c r="S496" s="1"/>
      <c r="T496" s="1"/>
    </row>
    <row r="497" spans="2:22" outlineLevel="4" x14ac:dyDescent="0.2">
      <c r="B497" s="3" t="s">
        <v>223</v>
      </c>
      <c r="E497" s="1"/>
      <c r="F497" s="1"/>
      <c r="G497" s="1"/>
      <c r="H497" s="1"/>
      <c r="I497" s="52">
        <f>-I498/I493</f>
        <v>9.1314031180400893E-2</v>
      </c>
      <c r="J497" s="128">
        <f>I497</f>
        <v>9.1314031180400893E-2</v>
      </c>
      <c r="K497" s="128">
        <f t="shared" ref="K497:O497" si="772">J497</f>
        <v>9.1314031180400893E-2</v>
      </c>
      <c r="L497" s="128">
        <f t="shared" si="772"/>
        <v>9.1314031180400893E-2</v>
      </c>
      <c r="M497" s="128">
        <f t="shared" si="772"/>
        <v>9.1314031180400893E-2</v>
      </c>
      <c r="N497" s="128">
        <f t="shared" si="772"/>
        <v>9.1314031180400893E-2</v>
      </c>
      <c r="O497" s="128">
        <f t="shared" si="772"/>
        <v>9.1314031180400893E-2</v>
      </c>
      <c r="P497" s="128">
        <f t="shared" ref="P497" si="773">O497</f>
        <v>9.1314031180400893E-2</v>
      </c>
      <c r="Q497" s="128">
        <f t="shared" ref="Q497" si="774">P497</f>
        <v>9.1314031180400893E-2</v>
      </c>
      <c r="R497" s="128">
        <f t="shared" ref="R497" si="775">Q497</f>
        <v>9.1314031180400893E-2</v>
      </c>
      <c r="S497" s="128">
        <f t="shared" ref="S497" si="776">R497</f>
        <v>9.1314031180400893E-2</v>
      </c>
      <c r="T497" s="128">
        <f t="shared" ref="T497" si="777">S497</f>
        <v>9.1314031180400893E-2</v>
      </c>
    </row>
    <row r="498" spans="2:22" outlineLevel="4" x14ac:dyDescent="0.2">
      <c r="B498" s="3" t="s">
        <v>256</v>
      </c>
      <c r="E498" s="1"/>
      <c r="F498" s="1"/>
      <c r="G498" s="1"/>
      <c r="H498" s="13">
        <f>H654</f>
        <v>-82</v>
      </c>
      <c r="I498" s="13">
        <f>I654</f>
        <v>-82</v>
      </c>
      <c r="J498" s="13">
        <f>-J493*J497</f>
        <v>-81.634743875278403</v>
      </c>
      <c r="K498" s="13">
        <f t="shared" ref="K498:O498" si="778">-K493*K497</f>
        <v>-30.042316258351892</v>
      </c>
      <c r="L498" s="13">
        <f t="shared" si="778"/>
        <v>-30.042316258351892</v>
      </c>
      <c r="M498" s="13">
        <f t="shared" si="778"/>
        <v>-30.042316258351892</v>
      </c>
      <c r="N498" s="13">
        <f t="shared" si="778"/>
        <v>-30.042316258351892</v>
      </c>
      <c r="O498" s="13">
        <f t="shared" si="778"/>
        <v>-30.042316258351892</v>
      </c>
      <c r="P498" s="13">
        <f t="shared" ref="P498:T498" si="779">-P493*P497</f>
        <v>-30.042316258351892</v>
      </c>
      <c r="Q498" s="13">
        <f t="shared" si="779"/>
        <v>-30.042316258351892</v>
      </c>
      <c r="R498" s="13">
        <f t="shared" si="779"/>
        <v>-30.042316258351892</v>
      </c>
      <c r="S498" s="13">
        <f t="shared" si="779"/>
        <v>-30.042316258351892</v>
      </c>
      <c r="T498" s="13">
        <f t="shared" si="779"/>
        <v>-30.042316258351892</v>
      </c>
    </row>
    <row r="499" spans="2:22" outlineLevel="4" x14ac:dyDescent="0.2">
      <c r="B499" s="2"/>
      <c r="E499" s="1"/>
      <c r="F499" s="1"/>
      <c r="G499" s="1"/>
      <c r="H499" s="1"/>
      <c r="I499" s="1"/>
      <c r="J499" s="13"/>
      <c r="K499" s="1"/>
      <c r="L499" s="1"/>
      <c r="M499" s="1"/>
      <c r="N499" s="1"/>
      <c r="O499" s="1"/>
      <c r="P499" s="1"/>
      <c r="Q499" s="1"/>
      <c r="R499" s="1"/>
      <c r="S499" s="1"/>
      <c r="T499" s="1"/>
    </row>
    <row r="500" spans="2:22" outlineLevel="4" x14ac:dyDescent="0.2">
      <c r="B500" s="2" t="s">
        <v>431</v>
      </c>
      <c r="E500" s="1"/>
      <c r="F500" s="1"/>
      <c r="G500" s="1"/>
      <c r="H500" s="136">
        <v>281</v>
      </c>
      <c r="I500" s="136">
        <v>294</v>
      </c>
      <c r="J500" s="13"/>
      <c r="K500" s="1"/>
      <c r="L500" s="1"/>
      <c r="M500" s="1"/>
      <c r="N500" s="1"/>
      <c r="O500" s="1"/>
      <c r="P500" s="1"/>
      <c r="Q500" s="1"/>
      <c r="R500" s="1"/>
      <c r="S500" s="1"/>
      <c r="T500" s="1"/>
    </row>
    <row r="501" spans="2:22" outlineLevel="4" x14ac:dyDescent="0.2">
      <c r="B501" s="3"/>
      <c r="C501" s="3" t="s">
        <v>434</v>
      </c>
      <c r="E501" s="1"/>
      <c r="F501" s="1"/>
      <c r="G501" s="1"/>
      <c r="H501" s="136">
        <v>52</v>
      </c>
      <c r="I501" s="136">
        <v>45</v>
      </c>
      <c r="J501" s="13"/>
      <c r="K501" s="1"/>
      <c r="L501" s="1"/>
      <c r="M501" s="1"/>
      <c r="N501" s="1"/>
      <c r="O501" s="1"/>
      <c r="P501" s="1"/>
      <c r="Q501" s="1"/>
      <c r="R501" s="1"/>
      <c r="S501" s="1"/>
      <c r="T501" s="1"/>
    </row>
    <row r="502" spans="2:22" outlineLevel="4" x14ac:dyDescent="0.2">
      <c r="B502" s="3"/>
      <c r="C502" s="3" t="s">
        <v>435</v>
      </c>
      <c r="E502" s="1"/>
      <c r="F502" s="1"/>
      <c r="G502" s="1"/>
      <c r="H502" s="135">
        <f>H503-H501</f>
        <v>22</v>
      </c>
      <c r="I502" s="135">
        <f>I503-I501</f>
        <v>37</v>
      </c>
      <c r="J502" s="13"/>
      <c r="K502" s="1"/>
      <c r="L502" s="1"/>
      <c r="M502" s="1"/>
      <c r="N502" s="1"/>
      <c r="O502" s="1"/>
      <c r="P502" s="1"/>
      <c r="Q502" s="1"/>
      <c r="R502" s="1"/>
      <c r="S502" s="1"/>
      <c r="T502" s="1"/>
    </row>
    <row r="503" spans="2:22" outlineLevel="4" x14ac:dyDescent="0.2">
      <c r="B503" s="2" t="s">
        <v>432</v>
      </c>
      <c r="C503" s="2"/>
      <c r="D503" s="44"/>
      <c r="E503" s="2"/>
      <c r="F503" s="2"/>
      <c r="G503" s="2"/>
      <c r="H503" s="266">
        <v>74</v>
      </c>
      <c r="I503" s="266">
        <v>82</v>
      </c>
      <c r="J503" s="17">
        <f t="shared" ref="J503:T503" si="780">J504*J604</f>
        <v>92.130785438662585</v>
      </c>
      <c r="K503" s="17">
        <f t="shared" si="780"/>
        <v>100.09025668449343</v>
      </c>
      <c r="L503" s="17">
        <f t="shared" si="780"/>
        <v>107.82708158039891</v>
      </c>
      <c r="M503" s="17">
        <f t="shared" si="780"/>
        <v>115.17676276605576</v>
      </c>
      <c r="N503" s="17">
        <f t="shared" si="780"/>
        <v>120.9402439105647</v>
      </c>
      <c r="O503" s="17">
        <f t="shared" si="780"/>
        <v>126.97133470130973</v>
      </c>
      <c r="P503" s="17">
        <f t="shared" si="780"/>
        <v>133.28064794680475</v>
      </c>
      <c r="Q503" s="17">
        <f t="shared" si="780"/>
        <v>139.87920098244317</v>
      </c>
      <c r="R503" s="17">
        <f t="shared" si="780"/>
        <v>146.71564638652811</v>
      </c>
      <c r="S503" s="17">
        <f t="shared" si="780"/>
        <v>153.7948696837046</v>
      </c>
      <c r="T503" s="17">
        <f t="shared" si="780"/>
        <v>161.18802624958587</v>
      </c>
    </row>
    <row r="504" spans="2:22" outlineLevel="4" x14ac:dyDescent="0.2">
      <c r="B504" s="3" t="s">
        <v>433</v>
      </c>
      <c r="E504" s="1"/>
      <c r="F504" s="1"/>
      <c r="G504" s="1"/>
      <c r="H504" s="165">
        <f>H503/H604</f>
        <v>8.0874316939890709E-2</v>
      </c>
      <c r="I504" s="165">
        <f>I503/I604</f>
        <v>8.9227421109902061E-2</v>
      </c>
      <c r="J504" s="128">
        <f>I504</f>
        <v>8.9227421109902061E-2</v>
      </c>
      <c r="K504" s="128">
        <f t="shared" ref="K504" si="781">J504</f>
        <v>8.9227421109902061E-2</v>
      </c>
      <c r="L504" s="128">
        <f t="shared" ref="L504" si="782">K504</f>
        <v>8.9227421109902061E-2</v>
      </c>
      <c r="M504" s="128">
        <f t="shared" ref="M504" si="783">L504</f>
        <v>8.9227421109902061E-2</v>
      </c>
      <c r="N504" s="128">
        <f t="shared" ref="N504" si="784">M504</f>
        <v>8.9227421109902061E-2</v>
      </c>
      <c r="O504" s="128">
        <f t="shared" ref="O504" si="785">N504</f>
        <v>8.9227421109902061E-2</v>
      </c>
      <c r="P504" s="128">
        <f t="shared" ref="P504" si="786">O504</f>
        <v>8.9227421109902061E-2</v>
      </c>
      <c r="Q504" s="128">
        <f t="shared" ref="Q504" si="787">P504</f>
        <v>8.9227421109902061E-2</v>
      </c>
      <c r="R504" s="128">
        <f t="shared" ref="R504" si="788">Q504</f>
        <v>8.9227421109902061E-2</v>
      </c>
      <c r="S504" s="128">
        <f t="shared" ref="S504" si="789">R504</f>
        <v>8.9227421109902061E-2</v>
      </c>
      <c r="T504" s="128">
        <f t="shared" ref="T504" si="790">S504</f>
        <v>8.9227421109902061E-2</v>
      </c>
    </row>
    <row r="505" spans="2:22" outlineLevel="4" x14ac:dyDescent="0.2">
      <c r="B505" s="2"/>
      <c r="E505" s="1"/>
      <c r="F505" s="1"/>
      <c r="G505" s="1"/>
      <c r="H505" s="1"/>
      <c r="I505" s="1"/>
      <c r="J505" s="13"/>
      <c r="K505" s="1"/>
      <c r="L505" s="1"/>
      <c r="M505" s="1"/>
      <c r="N505" s="1"/>
      <c r="O505" s="1"/>
      <c r="P505" s="1"/>
      <c r="Q505" s="1"/>
      <c r="R505" s="1"/>
      <c r="S505" s="1"/>
      <c r="T505" s="1"/>
    </row>
    <row r="506" spans="2:22" outlineLevel="4" x14ac:dyDescent="0.2">
      <c r="B506" s="142" t="s">
        <v>214</v>
      </c>
      <c r="C506" s="143"/>
      <c r="D506" s="144"/>
      <c r="E506" s="143"/>
      <c r="F506" s="143"/>
      <c r="G506" s="143"/>
      <c r="H506" s="143"/>
      <c r="I506" s="143"/>
      <c r="J506" s="143"/>
      <c r="K506" s="143"/>
      <c r="L506" s="143"/>
      <c r="M506" s="143"/>
      <c r="N506" s="143"/>
      <c r="O506" s="143"/>
      <c r="P506" s="143"/>
      <c r="Q506" s="143"/>
      <c r="R506" s="143"/>
      <c r="S506" s="143"/>
      <c r="T506" s="143"/>
    </row>
    <row r="507" spans="2:22" outlineLevel="4" x14ac:dyDescent="0.2">
      <c r="B507" s="2"/>
      <c r="C507" s="1" t="s">
        <v>209</v>
      </c>
      <c r="E507" s="1"/>
      <c r="F507" s="1"/>
      <c r="G507" s="1"/>
      <c r="H507" s="13"/>
      <c r="I507" s="13">
        <f>H513</f>
        <v>887</v>
      </c>
      <c r="J507" s="13">
        <f>I513</f>
        <v>1080</v>
      </c>
      <c r="K507" s="13">
        <f>J513</f>
        <v>1525.0322071361106</v>
      </c>
      <c r="L507" s="13">
        <f t="shared" ref="L507:O507" si="791">K513</f>
        <v>1867.8542069117348</v>
      </c>
      <c r="M507" s="13">
        <f t="shared" si="791"/>
        <v>2227.6559674789082</v>
      </c>
      <c r="N507" s="13">
        <f t="shared" si="791"/>
        <v>2611.2543406607497</v>
      </c>
      <c r="O507" s="13">
        <f t="shared" si="791"/>
        <v>3020.2249640120758</v>
      </c>
      <c r="P507" s="13">
        <f t="shared" ref="P507" si="792">O513</f>
        <v>3448.5934946857219</v>
      </c>
      <c r="Q507" s="13">
        <f t="shared" ref="Q507" si="793">P513</f>
        <v>3916.8762122775502</v>
      </c>
      <c r="R507" s="13">
        <f t="shared" ref="R507" si="794">Q513</f>
        <v>4430.6752234473361</v>
      </c>
      <c r="S507" s="13">
        <f t="shared" ref="S507" si="795">R513</f>
        <v>4996.3337023438253</v>
      </c>
      <c r="T507" s="13">
        <f t="shared" ref="T507" si="796">S513</f>
        <v>5606.8393861677341</v>
      </c>
    </row>
    <row r="508" spans="2:22" outlineLevel="4" x14ac:dyDescent="0.2">
      <c r="B508" s="2"/>
      <c r="C508" s="36" t="s">
        <v>215</v>
      </c>
      <c r="E508" s="1"/>
      <c r="F508" s="1"/>
      <c r="G508" s="1"/>
      <c r="H508" s="13"/>
      <c r="I508" s="13">
        <f>I661</f>
        <v>283</v>
      </c>
      <c r="J508" s="13">
        <f t="shared" ref="J508:O508" si="797">J661</f>
        <v>297.63220713611054</v>
      </c>
      <c r="K508" s="13">
        <f t="shared" si="797"/>
        <v>342.82199977562419</v>
      </c>
      <c r="L508" s="13">
        <f t="shared" si="797"/>
        <v>359.80176056717363</v>
      </c>
      <c r="M508" s="13">
        <f t="shared" si="797"/>
        <v>383.59837318184145</v>
      </c>
      <c r="N508" s="13">
        <f t="shared" si="797"/>
        <v>408.97062335132603</v>
      </c>
      <c r="O508" s="13">
        <f t="shared" si="797"/>
        <v>428.36853067364615</v>
      </c>
      <c r="P508" s="13">
        <f t="shared" ref="P508:T508" si="798">P661</f>
        <v>468.28271759182832</v>
      </c>
      <c r="Q508" s="13">
        <f t="shared" si="798"/>
        <v>513.79901116978624</v>
      </c>
      <c r="R508" s="13">
        <f t="shared" si="798"/>
        <v>565.65847889648921</v>
      </c>
      <c r="S508" s="13">
        <f t="shared" si="798"/>
        <v>610.50568382390884</v>
      </c>
      <c r="T508" s="13">
        <f t="shared" si="798"/>
        <v>672.06893217958952</v>
      </c>
    </row>
    <row r="509" spans="2:22" outlineLevel="4" x14ac:dyDescent="0.2">
      <c r="B509" s="2"/>
      <c r="C509" s="36" t="s">
        <v>216</v>
      </c>
      <c r="E509" s="1"/>
      <c r="F509" s="1"/>
      <c r="G509" s="1"/>
      <c r="H509" s="13"/>
      <c r="I509" s="13"/>
      <c r="J509" s="13">
        <f>-J527</f>
        <v>0</v>
      </c>
      <c r="K509" s="13">
        <f t="shared" ref="K509:T509" si="799">-K527</f>
        <v>0</v>
      </c>
      <c r="L509" s="13">
        <f t="shared" si="799"/>
        <v>0</v>
      </c>
      <c r="M509" s="13">
        <f t="shared" si="799"/>
        <v>0</v>
      </c>
      <c r="N509" s="13">
        <f t="shared" si="799"/>
        <v>0</v>
      </c>
      <c r="O509" s="13">
        <f t="shared" si="799"/>
        <v>0</v>
      </c>
      <c r="P509" s="13">
        <f t="shared" si="799"/>
        <v>0</v>
      </c>
      <c r="Q509" s="13">
        <f t="shared" si="799"/>
        <v>0</v>
      </c>
      <c r="R509" s="13">
        <f t="shared" si="799"/>
        <v>0</v>
      </c>
      <c r="S509" s="13">
        <f t="shared" si="799"/>
        <v>0</v>
      </c>
      <c r="T509" s="13">
        <f t="shared" si="799"/>
        <v>0</v>
      </c>
    </row>
    <row r="510" spans="2:22" outlineLevel="4" x14ac:dyDescent="0.2">
      <c r="B510" s="2"/>
      <c r="C510" s="36" t="s">
        <v>217</v>
      </c>
      <c r="E510" s="1"/>
      <c r="F510" s="1"/>
      <c r="G510" s="1"/>
      <c r="H510" s="13"/>
      <c r="I510" s="13"/>
      <c r="J510" s="88">
        <v>0</v>
      </c>
      <c r="K510" s="88">
        <v>0</v>
      </c>
      <c r="L510" s="88">
        <v>0</v>
      </c>
      <c r="M510" s="88">
        <v>0</v>
      </c>
      <c r="N510" s="88">
        <v>0</v>
      </c>
      <c r="O510" s="88">
        <v>0</v>
      </c>
      <c r="P510" s="88">
        <v>0</v>
      </c>
      <c r="Q510" s="88">
        <v>0</v>
      </c>
      <c r="R510" s="88">
        <v>0</v>
      </c>
      <c r="S510" s="88">
        <v>0</v>
      </c>
      <c r="T510" s="88">
        <v>0</v>
      </c>
    </row>
    <row r="511" spans="2:22" outlineLevel="4" x14ac:dyDescent="0.2">
      <c r="B511" s="2"/>
      <c r="C511" s="36" t="s">
        <v>218</v>
      </c>
      <c r="E511" s="1"/>
      <c r="F511" s="1"/>
      <c r="G511" s="1"/>
      <c r="H511" s="13"/>
      <c r="I511" s="13"/>
      <c r="J511" s="88">
        <v>0</v>
      </c>
      <c r="K511" s="88">
        <v>0</v>
      </c>
      <c r="L511" s="88">
        <v>0</v>
      </c>
      <c r="M511" s="88">
        <v>0</v>
      </c>
      <c r="N511" s="88">
        <v>0</v>
      </c>
      <c r="O511" s="88">
        <v>0</v>
      </c>
      <c r="P511" s="88">
        <v>0</v>
      </c>
      <c r="Q511" s="88">
        <v>0</v>
      </c>
      <c r="R511" s="88">
        <v>0</v>
      </c>
      <c r="S511" s="88">
        <v>0</v>
      </c>
      <c r="T511" s="88">
        <v>0</v>
      </c>
    </row>
    <row r="512" spans="2:22" outlineLevel="4" x14ac:dyDescent="0.2">
      <c r="B512" s="2"/>
      <c r="C512" s="36" t="s">
        <v>27</v>
      </c>
      <c r="E512" s="1"/>
      <c r="F512" s="1"/>
      <c r="G512" s="1"/>
      <c r="H512" s="13"/>
      <c r="I512" s="13">
        <f>I513-SUM(I507:I511)</f>
        <v>-90</v>
      </c>
      <c r="J512" s="13">
        <f>J787+J779+J784</f>
        <v>147.4</v>
      </c>
      <c r="K512" s="13">
        <f t="shared" ref="K512:T512" si="800">K787+K779+K784</f>
        <v>0</v>
      </c>
      <c r="L512" s="13">
        <f t="shared" si="800"/>
        <v>0</v>
      </c>
      <c r="M512" s="13">
        <f t="shared" si="800"/>
        <v>0</v>
      </c>
      <c r="N512" s="13">
        <f t="shared" si="800"/>
        <v>0</v>
      </c>
      <c r="O512" s="13">
        <f t="shared" si="800"/>
        <v>0</v>
      </c>
      <c r="P512" s="13">
        <f t="shared" si="800"/>
        <v>0</v>
      </c>
      <c r="Q512" s="13">
        <f t="shared" si="800"/>
        <v>0</v>
      </c>
      <c r="R512" s="13">
        <f t="shared" si="800"/>
        <v>0</v>
      </c>
      <c r="S512" s="13">
        <f t="shared" si="800"/>
        <v>0</v>
      </c>
      <c r="T512" s="13">
        <f t="shared" si="800"/>
        <v>0</v>
      </c>
      <c r="V512" s="1" t="s">
        <v>601</v>
      </c>
    </row>
    <row r="513" spans="2:20" s="2" customFormat="1" outlineLevel="4" x14ac:dyDescent="0.2">
      <c r="C513" s="4" t="s">
        <v>212</v>
      </c>
      <c r="D513" s="45"/>
      <c r="E513" s="4"/>
      <c r="F513" s="4"/>
      <c r="G513" s="4"/>
      <c r="H513" s="23">
        <f>H705</f>
        <v>887</v>
      </c>
      <c r="I513" s="23">
        <f>I705</f>
        <v>1080</v>
      </c>
      <c r="J513" s="23">
        <f>SUM(J507:J512)</f>
        <v>1525.0322071361106</v>
      </c>
      <c r="K513" s="23">
        <f>SUM(K507:K512)</f>
        <v>1867.8542069117348</v>
      </c>
      <c r="L513" s="23">
        <f t="shared" ref="L513:O513" si="801">SUM(L507:L512)</f>
        <v>2227.6559674789082</v>
      </c>
      <c r="M513" s="23">
        <f t="shared" si="801"/>
        <v>2611.2543406607497</v>
      </c>
      <c r="N513" s="23">
        <f t="shared" si="801"/>
        <v>3020.2249640120758</v>
      </c>
      <c r="O513" s="23">
        <f t="shared" si="801"/>
        <v>3448.5934946857219</v>
      </c>
      <c r="P513" s="23">
        <f t="shared" ref="P513:T513" si="802">SUM(P507:P512)</f>
        <v>3916.8762122775502</v>
      </c>
      <c r="Q513" s="23">
        <f t="shared" si="802"/>
        <v>4430.6752234473361</v>
      </c>
      <c r="R513" s="23">
        <f t="shared" si="802"/>
        <v>4996.3337023438253</v>
      </c>
      <c r="S513" s="23">
        <f t="shared" si="802"/>
        <v>5606.8393861677341</v>
      </c>
      <c r="T513" s="23">
        <f t="shared" si="802"/>
        <v>6278.908318347324</v>
      </c>
    </row>
    <row r="514" spans="2:20" outlineLevel="4" x14ac:dyDescent="0.2">
      <c r="E514" s="1"/>
      <c r="F514" s="1"/>
      <c r="G514" s="1"/>
      <c r="H514" s="1"/>
      <c r="I514" s="1"/>
      <c r="J514" s="1"/>
      <c r="K514" s="1"/>
      <c r="L514" s="1"/>
      <c r="M514" s="1"/>
      <c r="N514" s="1"/>
      <c r="O514" s="1"/>
      <c r="P514" s="1"/>
      <c r="Q514" s="1"/>
      <c r="R514" s="1"/>
      <c r="S514" s="1"/>
      <c r="T514" s="1"/>
    </row>
    <row r="515" spans="2:20" outlineLevel="4" x14ac:dyDescent="0.2">
      <c r="C515" s="2" t="s">
        <v>263</v>
      </c>
      <c r="E515" s="1"/>
      <c r="F515" s="1"/>
      <c r="G515" s="13"/>
      <c r="H515" s="13"/>
      <c r="I515" s="13"/>
      <c r="J515" s="13">
        <f>J510</f>
        <v>0</v>
      </c>
      <c r="K515" s="13">
        <f t="shared" ref="K515:T515" si="803">K510</f>
        <v>0</v>
      </c>
      <c r="L515" s="13">
        <f t="shared" si="803"/>
        <v>0</v>
      </c>
      <c r="M515" s="13">
        <f t="shared" si="803"/>
        <v>0</v>
      </c>
      <c r="N515" s="13">
        <f t="shared" si="803"/>
        <v>0</v>
      </c>
      <c r="O515" s="13">
        <f t="shared" si="803"/>
        <v>0</v>
      </c>
      <c r="P515" s="13">
        <f t="shared" si="803"/>
        <v>0</v>
      </c>
      <c r="Q515" s="13">
        <f t="shared" si="803"/>
        <v>0</v>
      </c>
      <c r="R515" s="13">
        <f t="shared" si="803"/>
        <v>0</v>
      </c>
      <c r="S515" s="13">
        <f t="shared" si="803"/>
        <v>0</v>
      </c>
      <c r="T515" s="13">
        <f t="shared" si="803"/>
        <v>0</v>
      </c>
    </row>
    <row r="516" spans="2:20" outlineLevel="4" x14ac:dyDescent="0.2">
      <c r="C516" s="1" t="s">
        <v>388</v>
      </c>
      <c r="E516" s="1"/>
      <c r="F516" s="1"/>
      <c r="G516" s="13"/>
      <c r="H516" s="13"/>
      <c r="I516" s="13"/>
      <c r="J516" s="301">
        <f>Summary!$D$9</f>
        <v>13.07</v>
      </c>
      <c r="K516" s="301">
        <f>Summary!$D$9</f>
        <v>13.07</v>
      </c>
      <c r="L516" s="301">
        <f>Summary!$D$9</f>
        <v>13.07</v>
      </c>
      <c r="M516" s="301">
        <f>Summary!$D$9</f>
        <v>13.07</v>
      </c>
      <c r="N516" s="301">
        <f>Summary!$D$9</f>
        <v>13.07</v>
      </c>
      <c r="O516" s="301">
        <f>Summary!$D$9</f>
        <v>13.07</v>
      </c>
      <c r="P516" s="301">
        <f>Summary!$D$9</f>
        <v>13.07</v>
      </c>
      <c r="Q516" s="301">
        <f>Summary!$D$9</f>
        <v>13.07</v>
      </c>
      <c r="R516" s="301">
        <f>Summary!$D$9</f>
        <v>13.07</v>
      </c>
      <c r="S516" s="301">
        <f>Summary!$D$9</f>
        <v>13.07</v>
      </c>
      <c r="T516" s="301">
        <f>Summary!$D$9</f>
        <v>13.07</v>
      </c>
    </row>
    <row r="517" spans="2:20" outlineLevel="4" x14ac:dyDescent="0.2">
      <c r="C517" s="1" t="s">
        <v>281</v>
      </c>
      <c r="E517" s="1"/>
      <c r="F517" s="1"/>
      <c r="G517" s="13"/>
      <c r="H517" s="13"/>
      <c r="I517" s="13"/>
      <c r="J517" s="13">
        <f>IFERROR(J515/J516,"")</f>
        <v>0</v>
      </c>
      <c r="K517" s="13">
        <f t="shared" ref="K517:T517" si="804">IFERROR(K515/K516,"")</f>
        <v>0</v>
      </c>
      <c r="L517" s="13">
        <f t="shared" si="804"/>
        <v>0</v>
      </c>
      <c r="M517" s="13">
        <f t="shared" si="804"/>
        <v>0</v>
      </c>
      <c r="N517" s="13">
        <f t="shared" si="804"/>
        <v>0</v>
      </c>
      <c r="O517" s="13">
        <f t="shared" si="804"/>
        <v>0</v>
      </c>
      <c r="P517" s="13">
        <f t="shared" si="804"/>
        <v>0</v>
      </c>
      <c r="Q517" s="13">
        <f t="shared" si="804"/>
        <v>0</v>
      </c>
      <c r="R517" s="13">
        <f t="shared" si="804"/>
        <v>0</v>
      </c>
      <c r="S517" s="13">
        <f t="shared" si="804"/>
        <v>0</v>
      </c>
      <c r="T517" s="13">
        <f t="shared" si="804"/>
        <v>0</v>
      </c>
    </row>
    <row r="518" spans="2:20" outlineLevel="4" x14ac:dyDescent="0.2">
      <c r="E518" s="1"/>
      <c r="F518" s="1"/>
      <c r="G518" s="13"/>
      <c r="H518" s="13"/>
      <c r="I518" s="13"/>
      <c r="J518" s="13"/>
      <c r="K518" s="13"/>
      <c r="L518" s="13"/>
      <c r="M518" s="13"/>
      <c r="N518" s="13"/>
      <c r="O518" s="13"/>
      <c r="P518" s="13"/>
      <c r="Q518" s="13"/>
      <c r="R518" s="13"/>
      <c r="S518" s="13"/>
      <c r="T518" s="13"/>
    </row>
    <row r="519" spans="2:20" outlineLevel="4" x14ac:dyDescent="0.2">
      <c r="B519" s="2" t="s">
        <v>282</v>
      </c>
      <c r="D519" s="43" t="s">
        <v>145</v>
      </c>
      <c r="E519" s="1"/>
      <c r="F519" s="1"/>
      <c r="G519" s="13"/>
      <c r="H519" s="13"/>
      <c r="I519" s="13"/>
      <c r="J519" s="13"/>
      <c r="K519" s="13"/>
      <c r="L519" s="13"/>
      <c r="M519" s="13"/>
      <c r="N519" s="13"/>
      <c r="O519" s="13"/>
      <c r="P519" s="13"/>
      <c r="Q519" s="13"/>
      <c r="R519" s="13"/>
      <c r="S519" s="13"/>
      <c r="T519" s="13"/>
    </row>
    <row r="520" spans="2:20" outlineLevel="4" x14ac:dyDescent="0.2">
      <c r="B520" s="2"/>
      <c r="C520" s="1" t="s">
        <v>209</v>
      </c>
      <c r="E520" s="1"/>
      <c r="F520" s="1"/>
      <c r="G520" s="13"/>
      <c r="H520" s="13"/>
      <c r="I520" s="13"/>
      <c r="J520" s="13">
        <f>I522</f>
        <v>218.55407</v>
      </c>
      <c r="K520" s="13">
        <f t="shared" ref="K520:T520" si="805">J522</f>
        <v>230.86352299999999</v>
      </c>
      <c r="L520" s="13">
        <f t="shared" si="805"/>
        <v>230.86352299999999</v>
      </c>
      <c r="M520" s="13">
        <f t="shared" si="805"/>
        <v>230.86352299999999</v>
      </c>
      <c r="N520" s="13">
        <f t="shared" si="805"/>
        <v>230.86352299999999</v>
      </c>
      <c r="O520" s="13">
        <f t="shared" si="805"/>
        <v>230.86352299999999</v>
      </c>
      <c r="P520" s="13">
        <f t="shared" si="805"/>
        <v>230.86352299999999</v>
      </c>
      <c r="Q520" s="13">
        <f t="shared" si="805"/>
        <v>230.86352299999999</v>
      </c>
      <c r="R520" s="13">
        <f t="shared" si="805"/>
        <v>230.86352299999999</v>
      </c>
      <c r="S520" s="13">
        <f t="shared" si="805"/>
        <v>230.86352299999999</v>
      </c>
      <c r="T520" s="13">
        <f t="shared" si="805"/>
        <v>230.86352299999999</v>
      </c>
    </row>
    <row r="521" spans="2:20" outlineLevel="4" x14ac:dyDescent="0.2">
      <c r="C521" s="1" t="s">
        <v>281</v>
      </c>
      <c r="E521" s="1"/>
      <c r="F521" s="1"/>
      <c r="G521" s="13"/>
      <c r="H521" s="13"/>
      <c r="I521" s="13"/>
      <c r="J521" s="13">
        <f>J517</f>
        <v>0</v>
      </c>
      <c r="K521" s="13">
        <f t="shared" ref="K521:T521" si="806">K517</f>
        <v>0</v>
      </c>
      <c r="L521" s="13">
        <f t="shared" si="806"/>
        <v>0</v>
      </c>
      <c r="M521" s="13">
        <f t="shared" si="806"/>
        <v>0</v>
      </c>
      <c r="N521" s="13">
        <f t="shared" si="806"/>
        <v>0</v>
      </c>
      <c r="O521" s="13">
        <f t="shared" si="806"/>
        <v>0</v>
      </c>
      <c r="P521" s="13">
        <f t="shared" si="806"/>
        <v>0</v>
      </c>
      <c r="Q521" s="13">
        <f t="shared" si="806"/>
        <v>0</v>
      </c>
      <c r="R521" s="13">
        <f t="shared" si="806"/>
        <v>0</v>
      </c>
      <c r="S521" s="13">
        <f t="shared" si="806"/>
        <v>0</v>
      </c>
      <c r="T521" s="13">
        <f t="shared" si="806"/>
        <v>0</v>
      </c>
    </row>
    <row r="522" spans="2:20" s="2" customFormat="1" outlineLevel="4" x14ac:dyDescent="0.2">
      <c r="B522" s="4"/>
      <c r="C522" s="4" t="s">
        <v>212</v>
      </c>
      <c r="D522" s="27"/>
      <c r="E522" s="4"/>
      <c r="F522" s="4"/>
      <c r="G522" s="23"/>
      <c r="H522" s="245">
        <v>218.55407</v>
      </c>
      <c r="I522" s="245">
        <v>218.55407</v>
      </c>
      <c r="J522" s="245">
        <v>230.86352299999999</v>
      </c>
      <c r="K522" s="23">
        <f t="shared" ref="K522:T522" si="807">SUM(K520:K521)</f>
        <v>230.86352299999999</v>
      </c>
      <c r="L522" s="23">
        <f t="shared" si="807"/>
        <v>230.86352299999999</v>
      </c>
      <c r="M522" s="23">
        <f t="shared" si="807"/>
        <v>230.86352299999999</v>
      </c>
      <c r="N522" s="23">
        <f t="shared" si="807"/>
        <v>230.86352299999999</v>
      </c>
      <c r="O522" s="23">
        <f t="shared" si="807"/>
        <v>230.86352299999999</v>
      </c>
      <c r="P522" s="23">
        <f t="shared" si="807"/>
        <v>230.86352299999999</v>
      </c>
      <c r="Q522" s="23">
        <f t="shared" si="807"/>
        <v>230.86352299999999</v>
      </c>
      <c r="R522" s="23">
        <f t="shared" si="807"/>
        <v>230.86352299999999</v>
      </c>
      <c r="S522" s="23">
        <f t="shared" si="807"/>
        <v>230.86352299999999</v>
      </c>
      <c r="T522" s="23">
        <f t="shared" si="807"/>
        <v>230.86352299999999</v>
      </c>
    </row>
    <row r="523" spans="2:20" outlineLevel="4" x14ac:dyDescent="0.2">
      <c r="E523" s="1"/>
      <c r="F523" s="1"/>
      <c r="G523" s="1"/>
      <c r="H523" s="1"/>
      <c r="I523" s="1"/>
      <c r="J523" s="1"/>
      <c r="K523" s="1"/>
      <c r="L523" s="1"/>
      <c r="M523" s="1"/>
      <c r="N523" s="1"/>
      <c r="O523" s="1"/>
      <c r="P523" s="1"/>
      <c r="Q523" s="1"/>
      <c r="R523" s="1"/>
      <c r="S523" s="1"/>
      <c r="T523" s="1"/>
    </row>
    <row r="524" spans="2:20" outlineLevel="4" x14ac:dyDescent="0.2">
      <c r="B524" s="2" t="s">
        <v>264</v>
      </c>
      <c r="E524" s="1"/>
      <c r="F524" s="1"/>
      <c r="G524" s="1"/>
      <c r="H524" s="1"/>
      <c r="I524" s="1"/>
      <c r="J524" s="1"/>
      <c r="K524" s="1"/>
      <c r="L524" s="1"/>
      <c r="M524" s="1"/>
      <c r="N524" s="1"/>
      <c r="O524" s="1"/>
      <c r="P524" s="1"/>
      <c r="Q524" s="1"/>
      <c r="R524" s="1"/>
      <c r="S524" s="1"/>
      <c r="T524" s="1"/>
    </row>
    <row r="525" spans="2:20" outlineLevel="4" x14ac:dyDescent="0.2">
      <c r="C525" s="1" t="s">
        <v>299</v>
      </c>
      <c r="E525" s="1"/>
      <c r="F525" s="1"/>
      <c r="G525" s="1"/>
      <c r="H525" s="1"/>
      <c r="I525" s="1"/>
      <c r="J525" s="179">
        <v>0</v>
      </c>
      <c r="K525" s="179">
        <v>0</v>
      </c>
      <c r="L525" s="179">
        <v>0</v>
      </c>
      <c r="M525" s="179">
        <v>0</v>
      </c>
      <c r="N525" s="179">
        <v>0</v>
      </c>
      <c r="O525" s="179">
        <v>0</v>
      </c>
      <c r="P525" s="179">
        <v>0</v>
      </c>
      <c r="Q525" s="179">
        <v>0</v>
      </c>
      <c r="R525" s="179">
        <v>0</v>
      </c>
      <c r="S525" s="179">
        <v>0</v>
      </c>
      <c r="T525" s="179">
        <v>0</v>
      </c>
    </row>
    <row r="526" spans="2:20" outlineLevel="4" x14ac:dyDescent="0.2">
      <c r="C526" s="1" t="s">
        <v>298</v>
      </c>
      <c r="E526" s="13"/>
      <c r="F526" s="13"/>
      <c r="G526" s="13"/>
      <c r="H526" s="13"/>
      <c r="I526" s="13"/>
      <c r="J526" s="13">
        <f>J661</f>
        <v>297.63220713611054</v>
      </c>
      <c r="K526" s="13">
        <f t="shared" ref="K526:T526" si="808">K661</f>
        <v>342.82199977562419</v>
      </c>
      <c r="L526" s="13">
        <f t="shared" si="808"/>
        <v>359.80176056717363</v>
      </c>
      <c r="M526" s="13">
        <f t="shared" si="808"/>
        <v>383.59837318184145</v>
      </c>
      <c r="N526" s="13">
        <f t="shared" si="808"/>
        <v>408.97062335132603</v>
      </c>
      <c r="O526" s="13">
        <f t="shared" si="808"/>
        <v>428.36853067364615</v>
      </c>
      <c r="P526" s="13">
        <f t="shared" si="808"/>
        <v>468.28271759182832</v>
      </c>
      <c r="Q526" s="13">
        <f t="shared" si="808"/>
        <v>513.79901116978624</v>
      </c>
      <c r="R526" s="13">
        <f t="shared" si="808"/>
        <v>565.65847889648921</v>
      </c>
      <c r="S526" s="13">
        <f t="shared" si="808"/>
        <v>610.50568382390884</v>
      </c>
      <c r="T526" s="13">
        <f t="shared" si="808"/>
        <v>672.06893217958952</v>
      </c>
    </row>
    <row r="527" spans="2:20" outlineLevel="4" x14ac:dyDescent="0.2">
      <c r="C527" s="1" t="s">
        <v>264</v>
      </c>
      <c r="E527" s="13"/>
      <c r="F527" s="13"/>
      <c r="G527" s="13"/>
      <c r="H527" s="13"/>
      <c r="I527" s="13"/>
      <c r="J527" s="13">
        <f>IFERROR(J525*J526,"")</f>
        <v>0</v>
      </c>
      <c r="K527" s="13">
        <f t="shared" ref="K527:T527" si="809">IFERROR(K525*K526,"")</f>
        <v>0</v>
      </c>
      <c r="L527" s="13">
        <f t="shared" si="809"/>
        <v>0</v>
      </c>
      <c r="M527" s="13">
        <f t="shared" si="809"/>
        <v>0</v>
      </c>
      <c r="N527" s="13">
        <f t="shared" si="809"/>
        <v>0</v>
      </c>
      <c r="O527" s="13">
        <f t="shared" si="809"/>
        <v>0</v>
      </c>
      <c r="P527" s="13">
        <f t="shared" si="809"/>
        <v>0</v>
      </c>
      <c r="Q527" s="13">
        <f t="shared" si="809"/>
        <v>0</v>
      </c>
      <c r="R527" s="13">
        <f t="shared" si="809"/>
        <v>0</v>
      </c>
      <c r="S527" s="13">
        <f t="shared" si="809"/>
        <v>0</v>
      </c>
      <c r="T527" s="13">
        <f t="shared" si="809"/>
        <v>0</v>
      </c>
    </row>
    <row r="528" spans="2:20" outlineLevel="1" x14ac:dyDescent="0.2">
      <c r="E528" s="1"/>
      <c r="F528" s="1"/>
      <c r="G528" s="1"/>
      <c r="H528" s="1"/>
      <c r="I528" s="1"/>
      <c r="J528" s="1"/>
      <c r="K528" s="1"/>
      <c r="L528" s="1"/>
      <c r="M528" s="1"/>
      <c r="N528" s="1"/>
      <c r="O528" s="1"/>
      <c r="P528" s="1"/>
      <c r="Q528" s="1"/>
      <c r="R528" s="1"/>
      <c r="S528" s="1"/>
      <c r="T528" s="1"/>
    </row>
    <row r="529" spans="1:22" x14ac:dyDescent="0.2">
      <c r="E529" s="1"/>
      <c r="F529" s="1"/>
      <c r="G529" s="1"/>
      <c r="H529" s="1"/>
      <c r="I529" s="1"/>
      <c r="J529" s="1"/>
      <c r="K529" s="1"/>
      <c r="L529" s="1"/>
      <c r="M529" s="1"/>
      <c r="N529" s="1"/>
      <c r="O529" s="1"/>
      <c r="P529" s="1"/>
      <c r="Q529" s="1"/>
      <c r="R529" s="1"/>
      <c r="S529" s="1"/>
      <c r="T529" s="1"/>
    </row>
    <row r="530" spans="1:22" x14ac:dyDescent="0.2">
      <c r="A530" s="1" t="s">
        <v>22</v>
      </c>
      <c r="B530" s="34" t="s">
        <v>404</v>
      </c>
      <c r="C530" s="80"/>
      <c r="D530" s="46"/>
      <c r="E530" s="80"/>
      <c r="F530" s="80"/>
      <c r="G530" s="80"/>
      <c r="H530" s="80"/>
      <c r="I530" s="80"/>
      <c r="J530" s="80"/>
      <c r="K530" s="80"/>
      <c r="L530" s="80"/>
      <c r="M530" s="80"/>
      <c r="N530" s="80"/>
      <c r="O530" s="80"/>
      <c r="P530" s="80"/>
      <c r="Q530" s="80"/>
      <c r="R530" s="80"/>
      <c r="S530" s="80"/>
      <c r="T530" s="80"/>
    </row>
    <row r="531" spans="1:22" x14ac:dyDescent="0.2">
      <c r="B531" s="184"/>
      <c r="C531" s="247"/>
      <c r="D531" s="185"/>
      <c r="E531" s="247"/>
      <c r="F531" s="247"/>
      <c r="G531" s="247"/>
      <c r="H531" s="247"/>
      <c r="I531" s="247"/>
      <c r="J531" s="247"/>
      <c r="K531" s="247"/>
      <c r="L531" s="247"/>
      <c r="M531" s="247"/>
      <c r="N531" s="247"/>
      <c r="O531" s="247"/>
      <c r="P531" s="247"/>
      <c r="Q531" s="247"/>
      <c r="R531" s="247"/>
      <c r="S531" s="247"/>
      <c r="T531" s="247"/>
    </row>
    <row r="532" spans="1:22" x14ac:dyDescent="0.2">
      <c r="B532" s="184"/>
      <c r="C532" s="344" t="s">
        <v>123</v>
      </c>
      <c r="D532" s="185"/>
      <c r="E532" s="247"/>
      <c r="F532" s="247"/>
      <c r="G532" s="247"/>
      <c r="H532" s="247"/>
      <c r="I532" s="247"/>
      <c r="J532" s="247"/>
      <c r="K532" s="247"/>
      <c r="L532" s="247"/>
      <c r="M532" s="247"/>
      <c r="N532" s="247"/>
      <c r="O532" s="247"/>
      <c r="P532" s="247"/>
      <c r="Q532" s="247"/>
      <c r="R532" s="247"/>
      <c r="S532" s="247"/>
      <c r="T532" s="247"/>
    </row>
    <row r="533" spans="1:22" outlineLevel="1" x14ac:dyDescent="0.2">
      <c r="C533" s="61" t="s">
        <v>139</v>
      </c>
      <c r="D533" s="43" t="s">
        <v>406</v>
      </c>
      <c r="F533" s="13">
        <f>F102</f>
        <v>0</v>
      </c>
      <c r="G533" s="13"/>
      <c r="H533" s="71">
        <f t="shared" ref="H533:I537" si="810">H600*H$37</f>
        <v>31413.63</v>
      </c>
      <c r="I533" s="71">
        <f t="shared" si="810"/>
        <v>34738.399999999994</v>
      </c>
      <c r="J533" s="13">
        <f t="shared" ref="J533:T533" si="811">J102</f>
        <v>40829.315304103518</v>
      </c>
      <c r="K533" s="13">
        <f t="shared" si="811"/>
        <v>46186.191761041548</v>
      </c>
      <c r="L533" s="13">
        <f t="shared" si="811"/>
        <v>51788.499894051907</v>
      </c>
      <c r="M533" s="13">
        <f t="shared" si="811"/>
        <v>57554.107203363295</v>
      </c>
      <c r="N533" s="13">
        <f t="shared" si="811"/>
        <v>62814.960768882287</v>
      </c>
      <c r="O533" s="13">
        <f t="shared" si="811"/>
        <v>68546.817632991661</v>
      </c>
      <c r="P533" s="13">
        <f t="shared" si="811"/>
        <v>74790.803580182823</v>
      </c>
      <c r="Q533" s="13">
        <f t="shared" si="811"/>
        <v>81591.562470849953</v>
      </c>
      <c r="R533" s="13">
        <f t="shared" si="811"/>
        <v>88997.551919292178</v>
      </c>
      <c r="S533" s="13">
        <f t="shared" si="811"/>
        <v>97061.363427351112</v>
      </c>
      <c r="T533" s="13">
        <f t="shared" si="811"/>
        <v>105840.06896591623</v>
      </c>
    </row>
    <row r="534" spans="1:22" outlineLevel="1" x14ac:dyDescent="0.2">
      <c r="C534" s="61" t="s">
        <v>153</v>
      </c>
      <c r="D534" s="43" t="s">
        <v>406</v>
      </c>
      <c r="E534" s="13">
        <f>E150</f>
        <v>1602.1321720000001</v>
      </c>
      <c r="F534" s="13">
        <f>F150</f>
        <v>1859.26304867</v>
      </c>
      <c r="G534" s="13">
        <f>G150</f>
        <v>1834.3085515066666</v>
      </c>
      <c r="H534" s="71">
        <f t="shared" si="810"/>
        <v>1901.64</v>
      </c>
      <c r="I534" s="71">
        <f t="shared" si="810"/>
        <v>2007.9999999999998</v>
      </c>
      <c r="J534" s="13">
        <f t="shared" ref="J534:T534" si="812">J150</f>
        <v>2204.2297088047258</v>
      </c>
      <c r="K534" s="13">
        <f t="shared" si="812"/>
        <v>2534.3280118992757</v>
      </c>
      <c r="L534" s="13">
        <f t="shared" si="812"/>
        <v>2904.6532777671637</v>
      </c>
      <c r="M534" s="13">
        <f t="shared" si="812"/>
        <v>3319.3798159129856</v>
      </c>
      <c r="N534" s="13">
        <f t="shared" si="812"/>
        <v>3783.0723485863605</v>
      </c>
      <c r="O534" s="13">
        <f t="shared" si="812"/>
        <v>4300.7200289552848</v>
      </c>
      <c r="P534" s="13">
        <f t="shared" si="812"/>
        <v>4877.7732763731346</v>
      </c>
      <c r="Q534" s="13">
        <f t="shared" si="812"/>
        <v>5520.1836532908637</v>
      </c>
      <c r="R534" s="13">
        <f t="shared" si="812"/>
        <v>6193.6435643800633</v>
      </c>
      <c r="S534" s="13">
        <f t="shared" si="812"/>
        <v>6895.4121789271476</v>
      </c>
      <c r="T534" s="13">
        <f t="shared" si="812"/>
        <v>7668.5952513482962</v>
      </c>
    </row>
    <row r="535" spans="1:22" s="2" customFormat="1" outlineLevel="1" x14ac:dyDescent="0.2">
      <c r="B535" s="59"/>
      <c r="C535" s="2" t="s">
        <v>0</v>
      </c>
      <c r="D535" s="43" t="s">
        <v>406</v>
      </c>
      <c r="E535" s="89"/>
      <c r="F535" s="89"/>
      <c r="G535" s="89"/>
      <c r="H535" s="83">
        <f t="shared" si="810"/>
        <v>33315.269999999997</v>
      </c>
      <c r="I535" s="83">
        <f t="shared" si="810"/>
        <v>36746.399999999994</v>
      </c>
      <c r="J535" s="83">
        <f>J533+J534</f>
        <v>43033.545012908246</v>
      </c>
      <c r="K535" s="83">
        <f t="shared" ref="K535:T535" si="813">K533+K534</f>
        <v>48720.519772940825</v>
      </c>
      <c r="L535" s="83">
        <f t="shared" si="813"/>
        <v>54693.153171819067</v>
      </c>
      <c r="M535" s="83">
        <f t="shared" si="813"/>
        <v>60873.487019276283</v>
      </c>
      <c r="N535" s="83">
        <f t="shared" si="813"/>
        <v>66598.033117468643</v>
      </c>
      <c r="O535" s="83">
        <f t="shared" si="813"/>
        <v>72847.537661946946</v>
      </c>
      <c r="P535" s="83">
        <f t="shared" si="813"/>
        <v>79668.576856555956</v>
      </c>
      <c r="Q535" s="83">
        <f t="shared" si="813"/>
        <v>87111.746124140816</v>
      </c>
      <c r="R535" s="83">
        <f t="shared" si="813"/>
        <v>95191.195483672243</v>
      </c>
      <c r="S535" s="83">
        <f t="shared" si="813"/>
        <v>103956.77560627826</v>
      </c>
      <c r="T535" s="83">
        <f t="shared" si="813"/>
        <v>113508.66421726452</v>
      </c>
    </row>
    <row r="536" spans="1:22" outlineLevel="1" x14ac:dyDescent="0.2">
      <c r="C536" s="3" t="s">
        <v>27</v>
      </c>
      <c r="D536" s="43" t="s">
        <v>406</v>
      </c>
      <c r="H536" s="71">
        <f t="shared" si="810"/>
        <v>146.28</v>
      </c>
      <c r="I536" s="71">
        <f t="shared" si="810"/>
        <v>160.63999999999999</v>
      </c>
      <c r="J536" s="92">
        <v>161</v>
      </c>
      <c r="K536" s="92">
        <v>161</v>
      </c>
      <c r="L536" s="92">
        <v>161</v>
      </c>
      <c r="M536" s="92">
        <v>161</v>
      </c>
      <c r="N536" s="92">
        <v>161</v>
      </c>
      <c r="O536" s="92">
        <v>161</v>
      </c>
      <c r="P536" s="92">
        <v>161</v>
      </c>
      <c r="Q536" s="92">
        <v>161</v>
      </c>
      <c r="R536" s="92">
        <v>161</v>
      </c>
      <c r="S536" s="92">
        <v>161</v>
      </c>
      <c r="T536" s="92">
        <v>161</v>
      </c>
    </row>
    <row r="537" spans="1:22" outlineLevel="1" x14ac:dyDescent="0.2">
      <c r="C537" s="4" t="s">
        <v>123</v>
      </c>
      <c r="D537" s="47" t="s">
        <v>406</v>
      </c>
      <c r="E537" s="16">
        <v>25158.202436299998</v>
      </c>
      <c r="F537" s="16">
        <v>28747.871926970001</v>
      </c>
      <c r="G537" s="16">
        <v>31091.832103610002</v>
      </c>
      <c r="H537" s="23">
        <f t="shared" si="810"/>
        <v>33461.550000000003</v>
      </c>
      <c r="I537" s="23">
        <f t="shared" si="810"/>
        <v>36907.039999999994</v>
      </c>
      <c r="J537" s="23">
        <f>J535+J536</f>
        <v>43194.545012908246</v>
      </c>
      <c r="K537" s="23">
        <f t="shared" ref="K537:T537" si="814">K535+K536</f>
        <v>48881.519772940825</v>
      </c>
      <c r="L537" s="23">
        <f t="shared" si="814"/>
        <v>54854.153171819067</v>
      </c>
      <c r="M537" s="23">
        <f t="shared" si="814"/>
        <v>61034.487019276283</v>
      </c>
      <c r="N537" s="23">
        <f t="shared" si="814"/>
        <v>66759.033117468643</v>
      </c>
      <c r="O537" s="23">
        <f t="shared" si="814"/>
        <v>73008.537661946946</v>
      </c>
      <c r="P537" s="23">
        <f t="shared" si="814"/>
        <v>79829.576856555956</v>
      </c>
      <c r="Q537" s="23">
        <f t="shared" si="814"/>
        <v>87272.746124140816</v>
      </c>
      <c r="R537" s="23">
        <f t="shared" si="814"/>
        <v>95352.195483672243</v>
      </c>
      <c r="S537" s="23">
        <f t="shared" si="814"/>
        <v>104117.77560627826</v>
      </c>
      <c r="T537" s="23">
        <f t="shared" si="814"/>
        <v>113669.66421726452</v>
      </c>
      <c r="V537" s="52">
        <f>(L537/H537)^(1/4)-1</f>
        <v>0.13152945891659562</v>
      </c>
    </row>
    <row r="538" spans="1:22" outlineLevel="1" x14ac:dyDescent="0.2">
      <c r="C538" s="3" t="s">
        <v>167</v>
      </c>
      <c r="H538" s="17"/>
      <c r="I538" s="17"/>
      <c r="J538" s="13">
        <f>J163</f>
        <v>3173.7482140525713</v>
      </c>
      <c r="K538" s="13">
        <f>K163*3/4</f>
        <v>3626.023203296133</v>
      </c>
      <c r="L538" s="13">
        <f t="shared" ref="L538:T538" si="815">L163</f>
        <v>5977.6716587129322</v>
      </c>
      <c r="M538" s="13">
        <f t="shared" si="815"/>
        <v>7141.3974869798576</v>
      </c>
      <c r="N538" s="13">
        <f t="shared" si="815"/>
        <v>8297.6727326013497</v>
      </c>
      <c r="O538" s="13">
        <f t="shared" si="815"/>
        <v>9410.0496871272699</v>
      </c>
      <c r="P538" s="13">
        <f t="shared" si="815"/>
        <v>10664.0404364736</v>
      </c>
      <c r="Q538" s="13">
        <f t="shared" si="815"/>
        <v>12076.962493622104</v>
      </c>
      <c r="R538" s="13">
        <f t="shared" si="815"/>
        <v>13668.184865585274</v>
      </c>
      <c r="S538" s="13">
        <f t="shared" si="815"/>
        <v>15459.36495493957</v>
      </c>
      <c r="T538" s="13">
        <f t="shared" si="815"/>
        <v>17474.71225291591</v>
      </c>
    </row>
    <row r="539" spans="1:22" outlineLevel="1" x14ac:dyDescent="0.2">
      <c r="C539" s="2" t="s">
        <v>837</v>
      </c>
      <c r="D539" s="43" t="s">
        <v>406</v>
      </c>
      <c r="H539" s="17"/>
      <c r="I539" s="83">
        <f>I537-I538</f>
        <v>36907.039999999994</v>
      </c>
      <c r="J539" s="83">
        <f>J537-J538</f>
        <v>40020.796798855677</v>
      </c>
      <c r="K539" s="83">
        <f>K537-K538</f>
        <v>45255.496569644689</v>
      </c>
      <c r="L539" s="83">
        <f t="shared" ref="L539:T539" si="816">L537-L538</f>
        <v>48876.481513106133</v>
      </c>
      <c r="M539" s="83">
        <f t="shared" si="816"/>
        <v>53893.089532296428</v>
      </c>
      <c r="N539" s="83">
        <f t="shared" si="816"/>
        <v>58461.360384867294</v>
      </c>
      <c r="O539" s="83">
        <f t="shared" si="816"/>
        <v>63598.487974819676</v>
      </c>
      <c r="P539" s="83">
        <f t="shared" si="816"/>
        <v>69165.536420082353</v>
      </c>
      <c r="Q539" s="83">
        <f t="shared" si="816"/>
        <v>75195.783630518708</v>
      </c>
      <c r="R539" s="83">
        <f t="shared" si="816"/>
        <v>81684.010618086962</v>
      </c>
      <c r="S539" s="83">
        <f t="shared" si="816"/>
        <v>88658.410651338694</v>
      </c>
      <c r="T539" s="83">
        <f t="shared" si="816"/>
        <v>96194.951964348613</v>
      </c>
    </row>
    <row r="540" spans="1:22" outlineLevel="1" x14ac:dyDescent="0.2">
      <c r="C540" s="84" t="s">
        <v>148</v>
      </c>
      <c r="H540" s="17"/>
      <c r="I540" s="17"/>
      <c r="J540" s="256">
        <f>J539/I539-1</f>
        <v>8.4367556944574318E-2</v>
      </c>
      <c r="K540" s="256">
        <f>K539/J539-1</f>
        <v>0.13079948900314475</v>
      </c>
      <c r="L540" s="256">
        <f t="shared" ref="L540:T540" si="817">L539/K539-1</f>
        <v>8.0012047550710896E-2</v>
      </c>
      <c r="M540" s="256">
        <f t="shared" si="817"/>
        <v>0.10263848509318541</v>
      </c>
      <c r="N540" s="256">
        <f t="shared" si="817"/>
        <v>8.476542896716377E-2</v>
      </c>
      <c r="O540" s="256">
        <f t="shared" si="817"/>
        <v>8.7872186964744747E-2</v>
      </c>
      <c r="P540" s="256">
        <f t="shared" si="817"/>
        <v>8.7534289297362289E-2</v>
      </c>
      <c r="Q540" s="256">
        <f t="shared" si="817"/>
        <v>8.7185721712778719E-2</v>
      </c>
      <c r="R540" s="256">
        <f t="shared" si="817"/>
        <v>8.6284452057162397E-2</v>
      </c>
      <c r="S540" s="256">
        <f t="shared" si="817"/>
        <v>8.5382683593494102E-2</v>
      </c>
      <c r="T540" s="256">
        <f t="shared" si="817"/>
        <v>8.5006501443482874E-2</v>
      </c>
    </row>
    <row r="541" spans="1:22" outlineLevel="1" x14ac:dyDescent="0.2">
      <c r="C541" s="2"/>
      <c r="H541" s="17"/>
      <c r="I541" s="17"/>
      <c r="J541" s="256"/>
      <c r="K541" s="17"/>
      <c r="L541" s="17"/>
      <c r="M541" s="17"/>
      <c r="N541" s="17"/>
      <c r="O541" s="17"/>
      <c r="P541" s="17"/>
      <c r="Q541" s="17"/>
      <c r="R541" s="17"/>
      <c r="S541" s="17"/>
      <c r="T541" s="17"/>
    </row>
    <row r="542" spans="1:22" s="3" customFormat="1" outlineLevel="1" x14ac:dyDescent="0.2">
      <c r="C542" s="59" t="s">
        <v>148</v>
      </c>
      <c r="D542" s="43"/>
      <c r="E542" s="178"/>
      <c r="F542" s="178"/>
      <c r="G542" s="178"/>
      <c r="H542" s="15"/>
      <c r="I542" s="15"/>
      <c r="J542" s="256"/>
      <c r="K542" s="178"/>
      <c r="L542" s="178"/>
      <c r="M542" s="178"/>
      <c r="N542" s="178"/>
      <c r="O542" s="178"/>
      <c r="P542" s="178"/>
      <c r="Q542" s="178"/>
      <c r="R542" s="178"/>
      <c r="S542" s="178"/>
      <c r="T542" s="178"/>
    </row>
    <row r="543" spans="1:22" s="58" customFormat="1" outlineLevel="1" x14ac:dyDescent="0.2">
      <c r="C543" s="343" t="s">
        <v>139</v>
      </c>
      <c r="D543" s="43"/>
      <c r="E543" s="93"/>
      <c r="F543" s="93"/>
      <c r="G543" s="93"/>
      <c r="H543" s="98"/>
      <c r="I543" s="99">
        <f t="shared" ref="I543:T543" si="818">IFERROR(I533/H533-1,"")</f>
        <v>0.10583845292632499</v>
      </c>
      <c r="J543" s="99">
        <f t="shared" si="818"/>
        <v>0.1753366678978745</v>
      </c>
      <c r="K543" s="99">
        <f t="shared" si="818"/>
        <v>0.13120172153363652</v>
      </c>
      <c r="L543" s="99">
        <f t="shared" si="818"/>
        <v>0.12129833440253357</v>
      </c>
      <c r="M543" s="99">
        <f t="shared" si="818"/>
        <v>0.11132987673144767</v>
      </c>
      <c r="N543" s="99">
        <f t="shared" si="818"/>
        <v>9.1407091885382652E-2</v>
      </c>
      <c r="O543" s="99">
        <f t="shared" si="818"/>
        <v>9.124986776954036E-2</v>
      </c>
      <c r="P543" s="99">
        <f t="shared" si="818"/>
        <v>9.109082175954919E-2</v>
      </c>
      <c r="Q543" s="99">
        <f t="shared" si="818"/>
        <v>9.0930416108928158E-2</v>
      </c>
      <c r="R543" s="99">
        <f t="shared" si="818"/>
        <v>9.0769060233258259E-2</v>
      </c>
      <c r="S543" s="99">
        <f t="shared" si="818"/>
        <v>9.060711597293869E-2</v>
      </c>
      <c r="T543" s="99">
        <f t="shared" si="818"/>
        <v>9.0444902364634983E-2</v>
      </c>
    </row>
    <row r="544" spans="1:22" s="58" customFormat="1" outlineLevel="1" x14ac:dyDescent="0.2">
      <c r="C544" s="343" t="s">
        <v>153</v>
      </c>
      <c r="D544" s="43"/>
      <c r="E544" s="93"/>
      <c r="F544" s="93"/>
      <c r="G544" s="93"/>
      <c r="H544" s="98"/>
      <c r="I544" s="99">
        <f t="shared" ref="I544:T544" si="819">IFERROR(I534/H534-1,"")</f>
        <v>5.5930670368734114E-2</v>
      </c>
      <c r="J544" s="99">
        <f t="shared" si="819"/>
        <v>9.7723958568090685E-2</v>
      </c>
      <c r="K544" s="99">
        <f t="shared" si="819"/>
        <v>0.14975676163694862</v>
      </c>
      <c r="L544" s="99">
        <f t="shared" si="819"/>
        <v>0.14612365255370352</v>
      </c>
      <c r="M544" s="99">
        <f t="shared" si="819"/>
        <v>0.1427800492816913</v>
      </c>
      <c r="N544" s="99">
        <f t="shared" si="819"/>
        <v>0.13969252040711044</v>
      </c>
      <c r="O544" s="99">
        <f t="shared" si="819"/>
        <v>0.13683261451829121</v>
      </c>
      <c r="P544" s="99">
        <f t="shared" si="819"/>
        <v>0.13417596205582938</v>
      </c>
      <c r="Q544" s="99">
        <f t="shared" si="819"/>
        <v>0.13170156555439427</v>
      </c>
      <c r="R544" s="99">
        <f t="shared" si="819"/>
        <v>0.12199954809251956</v>
      </c>
      <c r="S544" s="99">
        <f t="shared" si="819"/>
        <v>0.11330464971910703</v>
      </c>
      <c r="T544" s="99">
        <f t="shared" si="819"/>
        <v>0.11213007320781321</v>
      </c>
    </row>
    <row r="545" spans="3:22" s="100" customFormat="1" outlineLevel="1" x14ac:dyDescent="0.2">
      <c r="C545" s="342" t="s">
        <v>0</v>
      </c>
      <c r="D545" s="44"/>
      <c r="E545" s="101"/>
      <c r="F545" s="101"/>
      <c r="G545" s="101"/>
      <c r="H545" s="94"/>
      <c r="I545" s="102">
        <f t="shared" ref="I545:T545" si="820">IFERROR(I535/H535-1,"")</f>
        <v>0.10298971012391611</v>
      </c>
      <c r="J545" s="102">
        <f t="shared" si="820"/>
        <v>0.17109553624050933</v>
      </c>
      <c r="K545" s="102">
        <f t="shared" si="820"/>
        <v>0.13215213290763583</v>
      </c>
      <c r="L545" s="102">
        <f t="shared" si="820"/>
        <v>0.12258968965670647</v>
      </c>
      <c r="M545" s="102">
        <f t="shared" si="820"/>
        <v>0.11300013784251273</v>
      </c>
      <c r="N545" s="102">
        <f t="shared" si="820"/>
        <v>9.4040055506917408E-2</v>
      </c>
      <c r="O545" s="102">
        <f t="shared" si="820"/>
        <v>9.3839175902614702E-2</v>
      </c>
      <c r="P545" s="102">
        <f t="shared" si="820"/>
        <v>9.3634450985322637E-2</v>
      </c>
      <c r="Q545" s="102">
        <f t="shared" si="820"/>
        <v>9.3426662823240303E-2</v>
      </c>
      <c r="R545" s="102">
        <f t="shared" si="820"/>
        <v>9.2748104808019871E-2</v>
      </c>
      <c r="S545" s="102">
        <f t="shared" si="820"/>
        <v>9.2083937785081504E-2</v>
      </c>
      <c r="T545" s="102">
        <f t="shared" si="820"/>
        <v>9.18832712469142E-2</v>
      </c>
    </row>
    <row r="546" spans="3:22" s="58" customFormat="1" outlineLevel="1" x14ac:dyDescent="0.2">
      <c r="C546" s="60" t="s">
        <v>27</v>
      </c>
      <c r="D546" s="43"/>
      <c r="E546" s="93"/>
      <c r="F546" s="93"/>
      <c r="G546" s="93"/>
      <c r="H546" s="98"/>
      <c r="I546" s="99">
        <f t="shared" ref="I546:T546" si="821">IFERROR(I536/H536-1,"")</f>
        <v>9.8167897183483621E-2</v>
      </c>
      <c r="J546" s="99">
        <f t="shared" si="821"/>
        <v>2.2410358565738697E-3</v>
      </c>
      <c r="K546" s="99">
        <f t="shared" si="821"/>
        <v>0</v>
      </c>
      <c r="L546" s="99">
        <f t="shared" si="821"/>
        <v>0</v>
      </c>
      <c r="M546" s="99">
        <f t="shared" si="821"/>
        <v>0</v>
      </c>
      <c r="N546" s="99">
        <f t="shared" si="821"/>
        <v>0</v>
      </c>
      <c r="O546" s="99">
        <f t="shared" si="821"/>
        <v>0</v>
      </c>
      <c r="P546" s="99">
        <f t="shared" si="821"/>
        <v>0</v>
      </c>
      <c r="Q546" s="99">
        <f t="shared" si="821"/>
        <v>0</v>
      </c>
      <c r="R546" s="99">
        <f t="shared" si="821"/>
        <v>0</v>
      </c>
      <c r="S546" s="99">
        <f t="shared" si="821"/>
        <v>0</v>
      </c>
      <c r="T546" s="99">
        <f t="shared" si="821"/>
        <v>0</v>
      </c>
    </row>
    <row r="547" spans="3:22" s="100" customFormat="1" outlineLevel="1" x14ac:dyDescent="0.2">
      <c r="C547" s="342" t="s">
        <v>123</v>
      </c>
      <c r="D547" s="44"/>
      <c r="E547" s="101"/>
      <c r="F547" s="101"/>
      <c r="G547" s="101"/>
      <c r="H547" s="94"/>
      <c r="I547" s="102">
        <f t="shared" ref="I547:T547" si="822">IFERROR(I537/H537-1,"")</f>
        <v>0.1029686311602418</v>
      </c>
      <c r="J547" s="102">
        <f t="shared" si="822"/>
        <v>0.17036058738138449</v>
      </c>
      <c r="K547" s="102">
        <f t="shared" si="822"/>
        <v>0.13165955928770834</v>
      </c>
      <c r="L547" s="102">
        <f t="shared" si="822"/>
        <v>0.12218591865845574</v>
      </c>
      <c r="M547" s="102">
        <f t="shared" si="822"/>
        <v>0.11266847613340447</v>
      </c>
      <c r="N547" s="102">
        <f t="shared" si="822"/>
        <v>9.379199167160035E-2</v>
      </c>
      <c r="O547" s="102">
        <f t="shared" si="822"/>
        <v>9.3612867841895264E-2</v>
      </c>
      <c r="P547" s="102">
        <f t="shared" si="822"/>
        <v>9.3427966276939056E-2</v>
      </c>
      <c r="Q547" s="102">
        <f t="shared" si="822"/>
        <v>9.3238240269760242E-2</v>
      </c>
      <c r="R547" s="102">
        <f t="shared" si="822"/>
        <v>9.2577003914129596E-2</v>
      </c>
      <c r="S547" s="102">
        <f t="shared" si="822"/>
        <v>9.1928456163413719E-2</v>
      </c>
      <c r="T547" s="102">
        <f t="shared" si="822"/>
        <v>9.1741189776342935E-2</v>
      </c>
    </row>
    <row r="548" spans="3:22" outlineLevel="1" x14ac:dyDescent="0.2">
      <c r="H548" s="13"/>
      <c r="I548" s="13"/>
    </row>
    <row r="549" spans="3:22" outlineLevel="1" x14ac:dyDescent="0.2">
      <c r="C549" s="100" t="s">
        <v>612</v>
      </c>
      <c r="H549" s="13"/>
      <c r="I549" s="13"/>
    </row>
    <row r="550" spans="3:22" outlineLevel="1" x14ac:dyDescent="0.2">
      <c r="C550" s="343" t="s">
        <v>139</v>
      </c>
      <c r="H550" s="99">
        <f>IFERROR(H533/H$537,"")</f>
        <v>0.93879781420765018</v>
      </c>
      <c r="I550" s="99">
        <f t="shared" ref="I550:T550" si="823">IFERROR(I533/I$537,"")</f>
        <v>0.94124047878128403</v>
      </c>
      <c r="J550" s="99">
        <f t="shared" si="823"/>
        <v>0.94524239789774611</v>
      </c>
      <c r="K550" s="99">
        <f t="shared" si="823"/>
        <v>0.94485997930466714</v>
      </c>
      <c r="L550" s="99">
        <f t="shared" si="823"/>
        <v>0.94411264962627994</v>
      </c>
      <c r="M550" s="99">
        <f t="shared" si="823"/>
        <v>0.94297683185550829</v>
      </c>
      <c r="N550" s="99">
        <f t="shared" si="823"/>
        <v>0.94092076885465969</v>
      </c>
      <c r="O550" s="99">
        <f t="shared" si="823"/>
        <v>0.93888769489378776</v>
      </c>
      <c r="P550" s="99">
        <f t="shared" si="823"/>
        <v>0.93688087204286208</v>
      </c>
      <c r="Q550" s="99">
        <f t="shared" si="823"/>
        <v>0.9349031180340116</v>
      </c>
      <c r="R550" s="99">
        <f t="shared" si="823"/>
        <v>0.93335608548763604</v>
      </c>
      <c r="S550" s="99">
        <f t="shared" si="823"/>
        <v>0.93222663336939704</v>
      </c>
      <c r="T550" s="99">
        <f t="shared" si="823"/>
        <v>0.93111974680964082</v>
      </c>
    </row>
    <row r="551" spans="3:22" outlineLevel="1" x14ac:dyDescent="0.2">
      <c r="C551" s="343" t="s">
        <v>153</v>
      </c>
      <c r="H551" s="99">
        <f>IFERROR(H534/H$537,"")</f>
        <v>5.6830601092896171E-2</v>
      </c>
      <c r="I551" s="99">
        <f t="shared" ref="I551:T551" si="824">IFERROR(I534/I$537,"")</f>
        <v>5.4406964091403706E-2</v>
      </c>
      <c r="J551" s="99">
        <f t="shared" si="824"/>
        <v>5.1030279590768099E-2</v>
      </c>
      <c r="K551" s="99">
        <f t="shared" si="824"/>
        <v>5.1846342414709354E-2</v>
      </c>
      <c r="L551" s="99">
        <f t="shared" si="824"/>
        <v>5.2952294581395686E-2</v>
      </c>
      <c r="M551" s="99">
        <f t="shared" si="824"/>
        <v>5.438531522128856E-2</v>
      </c>
      <c r="N551" s="99">
        <f t="shared" si="824"/>
        <v>5.6667572490597604E-2</v>
      </c>
      <c r="O551" s="99">
        <f t="shared" si="824"/>
        <v>5.8907083564240174E-2</v>
      </c>
      <c r="P551" s="99">
        <f t="shared" si="824"/>
        <v>6.110233159744665E-2</v>
      </c>
      <c r="Q551" s="99">
        <f t="shared" si="824"/>
        <v>6.3252090697807281E-2</v>
      </c>
      <c r="R551" s="99">
        <f t="shared" si="824"/>
        <v>6.4955437396726115E-2</v>
      </c>
      <c r="S551" s="99">
        <f t="shared" si="824"/>
        <v>6.6227040856137509E-2</v>
      </c>
      <c r="T551" s="99">
        <f t="shared" si="824"/>
        <v>6.7463868255041123E-2</v>
      </c>
    </row>
    <row r="552" spans="3:22" outlineLevel="1" x14ac:dyDescent="0.2">
      <c r="C552" s="60" t="s">
        <v>0</v>
      </c>
      <c r="H552" s="99">
        <f>IFERROR(H535/H$537,"")</f>
        <v>0.99562841530054624</v>
      </c>
      <c r="I552" s="99">
        <f t="shared" ref="I552:T552" si="825">IFERROR(I535/I$537,"")</f>
        <v>0.99564744287268769</v>
      </c>
      <c r="J552" s="99">
        <f t="shared" si="825"/>
        <v>0.99627267748851422</v>
      </c>
      <c r="K552" s="99">
        <f t="shared" si="825"/>
        <v>0.99670632171937656</v>
      </c>
      <c r="L552" s="99">
        <f t="shared" si="825"/>
        <v>0.99706494420767555</v>
      </c>
      <c r="M552" s="99">
        <f t="shared" si="825"/>
        <v>0.99736214707679693</v>
      </c>
      <c r="N552" s="99">
        <f t="shared" si="825"/>
        <v>0.99758834134525731</v>
      </c>
      <c r="O552" s="99">
        <f t="shared" si="825"/>
        <v>0.997794778458028</v>
      </c>
      <c r="P552" s="99">
        <f t="shared" si="825"/>
        <v>0.99798320364030868</v>
      </c>
      <c r="Q552" s="99">
        <f t="shared" si="825"/>
        <v>0.99815520873181895</v>
      </c>
      <c r="R552" s="99">
        <f t="shared" si="825"/>
        <v>0.9983115228843622</v>
      </c>
      <c r="S552" s="99">
        <f t="shared" si="825"/>
        <v>0.99845367422553455</v>
      </c>
      <c r="T552" s="99">
        <f t="shared" si="825"/>
        <v>0.99858361506468185</v>
      </c>
    </row>
    <row r="553" spans="3:22" outlineLevel="1" x14ac:dyDescent="0.2">
      <c r="C553" s="60" t="s">
        <v>27</v>
      </c>
      <c r="H553" s="99">
        <f>IFERROR(H536/H$537,"")</f>
        <v>4.3715846994535519E-3</v>
      </c>
      <c r="I553" s="99">
        <f t="shared" ref="I553:T553" si="826">IFERROR(I536/I$537,"")</f>
        <v>4.3525571273122961E-3</v>
      </c>
      <c r="J553" s="99">
        <f t="shared" si="826"/>
        <v>3.7273225114858094E-3</v>
      </c>
      <c r="K553" s="99">
        <f t="shared" si="826"/>
        <v>3.2936782806234316E-3</v>
      </c>
      <c r="L553" s="99">
        <f t="shared" si="826"/>
        <v>2.9350557923244472E-3</v>
      </c>
      <c r="M553" s="99">
        <f t="shared" si="826"/>
        <v>2.6378529232031064E-3</v>
      </c>
      <c r="N553" s="99">
        <f t="shared" si="826"/>
        <v>2.4116586547427332E-3</v>
      </c>
      <c r="O553" s="99">
        <f t="shared" si="826"/>
        <v>2.205221541972007E-3</v>
      </c>
      <c r="P553" s="99">
        <f t="shared" si="826"/>
        <v>2.0167963596913136E-3</v>
      </c>
      <c r="Q553" s="99">
        <f t="shared" si="826"/>
        <v>1.8447912681810895E-3</v>
      </c>
      <c r="R553" s="99">
        <f t="shared" si="826"/>
        <v>1.6884771156377731E-3</v>
      </c>
      <c r="S553" s="99">
        <f t="shared" si="826"/>
        <v>1.5463257744654675E-3</v>
      </c>
      <c r="T553" s="99">
        <f t="shared" si="826"/>
        <v>1.4163849353180968E-3</v>
      </c>
    </row>
    <row r="554" spans="3:22" outlineLevel="1" x14ac:dyDescent="0.2">
      <c r="C554" s="60"/>
      <c r="H554" s="13"/>
      <c r="I554" s="13"/>
    </row>
    <row r="555" spans="3:22" outlineLevel="1" x14ac:dyDescent="0.2">
      <c r="C555" s="2" t="s">
        <v>411</v>
      </c>
      <c r="H555" s="13"/>
      <c r="I555" s="13"/>
    </row>
    <row r="556" spans="3:22" outlineLevel="1" x14ac:dyDescent="0.2">
      <c r="C556" s="1" t="s">
        <v>392</v>
      </c>
      <c r="H556" s="13">
        <f t="shared" ref="H556:T556" si="827">H165</f>
        <v>396</v>
      </c>
      <c r="I556" s="13">
        <f t="shared" si="827"/>
        <v>880</v>
      </c>
      <c r="J556" s="13">
        <f t="shared" si="827"/>
        <v>4696.283977238365</v>
      </c>
      <c r="K556" s="13">
        <f t="shared" si="827"/>
        <v>7197.1884186540547</v>
      </c>
      <c r="L556" s="13">
        <f t="shared" si="827"/>
        <v>9306.2072760569554</v>
      </c>
      <c r="M556" s="13">
        <f t="shared" si="827"/>
        <v>11499.414050999552</v>
      </c>
      <c r="N556" s="13">
        <f t="shared" si="827"/>
        <v>13667.956606976233</v>
      </c>
      <c r="O556" s="13">
        <f t="shared" si="827"/>
        <v>15724.365482630805</v>
      </c>
      <c r="P556" s="13">
        <f t="shared" si="827"/>
        <v>17834.733284675523</v>
      </c>
      <c r="Q556" s="13">
        <f t="shared" si="827"/>
        <v>20019.780940719109</v>
      </c>
      <c r="R556" s="13">
        <f t="shared" si="827"/>
        <v>22405.884146794142</v>
      </c>
      <c r="S556" s="13">
        <f t="shared" si="827"/>
        <v>25012.515545678576</v>
      </c>
      <c r="T556" s="13">
        <f t="shared" si="827"/>
        <v>27862.46716226227</v>
      </c>
      <c r="V556" s="52">
        <f>(T556/I556)^(1/11)-1</f>
        <v>0.36902836128031979</v>
      </c>
    </row>
    <row r="557" spans="3:22" outlineLevel="1" x14ac:dyDescent="0.2">
      <c r="C557" s="1" t="s">
        <v>393</v>
      </c>
      <c r="H557" s="13">
        <f>H558-H556</f>
        <v>32919.269999999997</v>
      </c>
      <c r="I557" s="13">
        <f>I558-I556</f>
        <v>35866.399999999994</v>
      </c>
      <c r="J557" s="13">
        <f t="shared" ref="J557:T557" si="828">J558-J556</f>
        <v>38337.261035669879</v>
      </c>
      <c r="K557" s="13">
        <f t="shared" si="828"/>
        <v>41523.331354286769</v>
      </c>
      <c r="L557" s="13">
        <f t="shared" si="828"/>
        <v>45386.94589576211</v>
      </c>
      <c r="M557" s="13">
        <f t="shared" si="828"/>
        <v>49374.072968276727</v>
      </c>
      <c r="N557" s="13">
        <f t="shared" si="828"/>
        <v>52930.076510492407</v>
      </c>
      <c r="O557" s="13">
        <f t="shared" si="828"/>
        <v>57123.172179316141</v>
      </c>
      <c r="P557" s="13">
        <f t="shared" si="828"/>
        <v>61833.843571880432</v>
      </c>
      <c r="Q557" s="13">
        <f t="shared" si="828"/>
        <v>67091.965183421707</v>
      </c>
      <c r="R557" s="13">
        <f t="shared" si="828"/>
        <v>72785.311336878105</v>
      </c>
      <c r="S557" s="13">
        <f t="shared" si="828"/>
        <v>78944.260060599685</v>
      </c>
      <c r="T557" s="13">
        <f t="shared" si="828"/>
        <v>85646.197055002252</v>
      </c>
      <c r="V557" s="52">
        <f>(T557/I557)^(1/11)-1</f>
        <v>8.2344417440372242E-2</v>
      </c>
    </row>
    <row r="558" spans="3:22" outlineLevel="1" x14ac:dyDescent="0.2">
      <c r="C558" s="4" t="s">
        <v>394</v>
      </c>
      <c r="D558" s="45"/>
      <c r="E558" s="148"/>
      <c r="F558" s="148"/>
      <c r="G558" s="148"/>
      <c r="H558" s="23">
        <f>H535</f>
        <v>33315.269999999997</v>
      </c>
      <c r="I558" s="23">
        <f t="shared" ref="I558:T558" si="829">I535</f>
        <v>36746.399999999994</v>
      </c>
      <c r="J558" s="23">
        <f t="shared" si="829"/>
        <v>43033.545012908246</v>
      </c>
      <c r="K558" s="23">
        <f t="shared" si="829"/>
        <v>48720.519772940825</v>
      </c>
      <c r="L558" s="23">
        <f t="shared" si="829"/>
        <v>54693.153171819067</v>
      </c>
      <c r="M558" s="23">
        <f t="shared" si="829"/>
        <v>60873.487019276283</v>
      </c>
      <c r="N558" s="23">
        <f t="shared" si="829"/>
        <v>66598.033117468643</v>
      </c>
      <c r="O558" s="23">
        <f t="shared" si="829"/>
        <v>72847.537661946946</v>
      </c>
      <c r="P558" s="23">
        <f t="shared" si="829"/>
        <v>79668.576856555956</v>
      </c>
      <c r="Q558" s="23">
        <f t="shared" si="829"/>
        <v>87111.746124140816</v>
      </c>
      <c r="R558" s="23">
        <f t="shared" si="829"/>
        <v>95191.195483672243</v>
      </c>
      <c r="S558" s="23">
        <f t="shared" si="829"/>
        <v>103956.77560627826</v>
      </c>
      <c r="T558" s="23">
        <f t="shared" si="829"/>
        <v>113508.66421726452</v>
      </c>
    </row>
    <row r="559" spans="3:22" outlineLevel="1" x14ac:dyDescent="0.2">
      <c r="D559" s="44"/>
      <c r="E559" s="89"/>
      <c r="F559" s="89"/>
      <c r="G559" s="89"/>
      <c r="H559" s="17"/>
      <c r="I559" s="17"/>
      <c r="J559" s="17"/>
      <c r="K559" s="17"/>
      <c r="L559" s="17"/>
      <c r="M559" s="17"/>
      <c r="N559" s="17"/>
      <c r="O559" s="17"/>
      <c r="P559" s="17"/>
      <c r="Q559" s="17"/>
      <c r="R559" s="17"/>
      <c r="S559" s="17"/>
      <c r="T559" s="17"/>
    </row>
    <row r="560" spans="3:22" s="58" customFormat="1" outlineLevel="1" x14ac:dyDescent="0.2">
      <c r="C560" s="342" t="s">
        <v>148</v>
      </c>
      <c r="D560" s="44"/>
      <c r="E560" s="101"/>
      <c r="F560" s="101"/>
      <c r="G560" s="101"/>
      <c r="H560" s="94"/>
      <c r="I560" s="94"/>
      <c r="J560" s="94"/>
      <c r="K560" s="94"/>
      <c r="L560" s="94"/>
      <c r="M560" s="94"/>
      <c r="N560" s="94"/>
      <c r="O560" s="94"/>
      <c r="P560" s="94"/>
      <c r="Q560" s="94"/>
      <c r="R560" s="94"/>
      <c r="S560" s="94"/>
      <c r="T560" s="94"/>
    </row>
    <row r="561" spans="3:20" s="58" customFormat="1" outlineLevel="1" x14ac:dyDescent="0.2">
      <c r="C561" s="60" t="s">
        <v>392</v>
      </c>
      <c r="D561" s="43"/>
      <c r="E561" s="93"/>
      <c r="F561" s="93"/>
      <c r="G561" s="93"/>
      <c r="H561" s="98"/>
      <c r="I561" s="99">
        <f>I556/H556-1</f>
        <v>1.2222222222222223</v>
      </c>
      <c r="J561" s="99">
        <f>J556/I556-1</f>
        <v>4.3366863377708693</v>
      </c>
      <c r="K561" s="99">
        <f t="shared" ref="K561:K562" si="830">K556/J556-1</f>
        <v>0.53252836786210245</v>
      </c>
      <c r="L561" s="99">
        <f t="shared" ref="L561:L562" si="831">L556/K556-1</f>
        <v>0.29303371465677253</v>
      </c>
      <c r="M561" s="99">
        <f t="shared" ref="M561:M562" si="832">M556/L556-1</f>
        <v>0.23567138683717981</v>
      </c>
      <c r="N561" s="99">
        <f t="shared" ref="N561:N562" si="833">N556/M556-1</f>
        <v>0.18857852638049732</v>
      </c>
      <c r="O561" s="99">
        <f t="shared" ref="O561:O562" si="834">O556/N556-1</f>
        <v>0.15045474131846182</v>
      </c>
      <c r="P561" s="99">
        <f t="shared" ref="P561:P562" si="835">P556/O556-1</f>
        <v>0.13421004519233781</v>
      </c>
      <c r="Q561" s="99">
        <f t="shared" ref="Q561:Q562" si="836">Q556/P556-1</f>
        <v>0.12251641901037491</v>
      </c>
      <c r="R561" s="99">
        <f t="shared" ref="R561:R562" si="837">R556/Q556-1</f>
        <v>0.11918727847924826</v>
      </c>
      <c r="S561" s="99">
        <f t="shared" ref="S561:S562" si="838">S556/R556-1</f>
        <v>0.11633691318793127</v>
      </c>
      <c r="T561" s="99">
        <f t="shared" ref="T561:T562" si="839">T556/S556-1</f>
        <v>0.11394102330007683</v>
      </c>
    </row>
    <row r="562" spans="3:20" s="58" customFormat="1" outlineLevel="1" x14ac:dyDescent="0.2">
      <c r="C562" s="60" t="s">
        <v>393</v>
      </c>
      <c r="D562" s="43"/>
      <c r="E562" s="93"/>
      <c r="F562" s="93"/>
      <c r="G562" s="93"/>
      <c r="H562" s="98"/>
      <c r="I562" s="99">
        <f>I557/H557-1</f>
        <v>8.9525982805815474E-2</v>
      </c>
      <c r="J562" s="99">
        <f>J557/I557-1</f>
        <v>6.8890689772876046E-2</v>
      </c>
      <c r="K562" s="99">
        <f t="shared" si="830"/>
        <v>8.3106362649446819E-2</v>
      </c>
      <c r="L562" s="99">
        <f t="shared" si="831"/>
        <v>9.3046834525632782E-2</v>
      </c>
      <c r="M562" s="99">
        <f t="shared" si="832"/>
        <v>8.784744145754253E-2</v>
      </c>
      <c r="N562" s="99">
        <f t="shared" si="833"/>
        <v>7.202167713610419E-2</v>
      </c>
      <c r="O562" s="99">
        <f t="shared" si="834"/>
        <v>7.9219527823515046E-2</v>
      </c>
      <c r="P562" s="99">
        <f t="shared" si="835"/>
        <v>8.2465157533215372E-2</v>
      </c>
      <c r="Q562" s="99">
        <f t="shared" si="836"/>
        <v>8.5036305489061714E-2</v>
      </c>
      <c r="R562" s="99">
        <f t="shared" si="837"/>
        <v>8.4858837237684837E-2</v>
      </c>
      <c r="S562" s="99">
        <f t="shared" si="838"/>
        <v>8.4618017160297931E-2</v>
      </c>
      <c r="T562" s="99">
        <f t="shared" si="839"/>
        <v>8.4894544445131004E-2</v>
      </c>
    </row>
    <row r="563" spans="3:20" s="58" customFormat="1" outlineLevel="1" x14ac:dyDescent="0.2">
      <c r="C563" s="60"/>
      <c r="D563" s="43"/>
      <c r="E563" s="93"/>
      <c r="F563" s="93"/>
      <c r="G563" s="93"/>
      <c r="H563" s="98"/>
      <c r="I563" s="99"/>
      <c r="J563" s="99"/>
      <c r="K563" s="99"/>
      <c r="L563" s="99"/>
      <c r="M563" s="99"/>
      <c r="N563" s="99"/>
      <c r="O563" s="99"/>
      <c r="P563" s="99"/>
      <c r="Q563" s="99"/>
      <c r="R563" s="99"/>
      <c r="S563" s="99"/>
      <c r="T563" s="99"/>
    </row>
    <row r="564" spans="3:20" s="58" customFormat="1" outlineLevel="1" x14ac:dyDescent="0.2">
      <c r="C564" s="342" t="s">
        <v>613</v>
      </c>
      <c r="D564" s="43"/>
      <c r="E564" s="93"/>
      <c r="F564" s="93"/>
      <c r="G564" s="93"/>
      <c r="H564" s="98"/>
      <c r="I564" s="99"/>
      <c r="J564" s="99"/>
      <c r="K564" s="99"/>
      <c r="L564" s="99"/>
      <c r="M564" s="99"/>
      <c r="N564" s="99"/>
      <c r="O564" s="99"/>
      <c r="P564" s="99"/>
      <c r="Q564" s="99"/>
      <c r="R564" s="99"/>
      <c r="S564" s="99"/>
      <c r="T564" s="99"/>
    </row>
    <row r="565" spans="3:20" s="58" customFormat="1" outlineLevel="1" x14ac:dyDescent="0.2">
      <c r="C565" s="60" t="s">
        <v>392</v>
      </c>
      <c r="D565" s="43"/>
      <c r="E565" s="93"/>
      <c r="F565" s="93"/>
      <c r="G565" s="93"/>
      <c r="H565" s="99">
        <f>IFERROR(H556/H558,"")</f>
        <v>1.1886441262520161E-2</v>
      </c>
      <c r="I565" s="99">
        <f t="shared" ref="I565:T565" si="840">IFERROR(I556/I558,"")</f>
        <v>2.3947924150392968E-2</v>
      </c>
      <c r="J565" s="99">
        <f t="shared" si="840"/>
        <v>0.10913077172307506</v>
      </c>
      <c r="K565" s="99">
        <f t="shared" si="840"/>
        <v>0.14772396625069142</v>
      </c>
      <c r="L565" s="99">
        <f t="shared" si="840"/>
        <v>0.17015305822323712</v>
      </c>
      <c r="M565" s="99">
        <f t="shared" si="840"/>
        <v>0.18890677393522951</v>
      </c>
      <c r="N565" s="99">
        <f t="shared" si="840"/>
        <v>0.20523063470760569</v>
      </c>
      <c r="O565" s="99">
        <f t="shared" si="840"/>
        <v>0.21585308148094995</v>
      </c>
      <c r="P565" s="99">
        <f t="shared" si="840"/>
        <v>0.22386157740444057</v>
      </c>
      <c r="Q565" s="99">
        <f t="shared" si="840"/>
        <v>0.22981723856378</v>
      </c>
      <c r="R565" s="99">
        <f t="shared" si="840"/>
        <v>0.23537769468014857</v>
      </c>
      <c r="S565" s="99">
        <f t="shared" si="840"/>
        <v>0.24060495720269334</v>
      </c>
      <c r="T565" s="99">
        <f t="shared" si="840"/>
        <v>0.24546555414423091</v>
      </c>
    </row>
    <row r="566" spans="3:20" s="58" customFormat="1" outlineLevel="1" x14ac:dyDescent="0.2">
      <c r="C566" s="60" t="s">
        <v>393</v>
      </c>
      <c r="D566" s="43"/>
      <c r="E566" s="93"/>
      <c r="F566" s="93"/>
      <c r="G566" s="93"/>
      <c r="H566" s="99">
        <f>IFERROR(H557/H558,"")</f>
        <v>0.98811355873747986</v>
      </c>
      <c r="I566" s="99">
        <f t="shared" ref="I566:T566" si="841">IFERROR(I557/I558,"")</f>
        <v>0.97605207584960707</v>
      </c>
      <c r="J566" s="99">
        <f t="shared" si="841"/>
        <v>0.89086922827692494</v>
      </c>
      <c r="K566" s="99">
        <f t="shared" si="841"/>
        <v>0.8522760337493086</v>
      </c>
      <c r="L566" s="99">
        <f t="shared" si="841"/>
        <v>0.82984694177676288</v>
      </c>
      <c r="M566" s="99">
        <f t="shared" si="841"/>
        <v>0.81109322606477041</v>
      </c>
      <c r="N566" s="99">
        <f t="shared" si="841"/>
        <v>0.79476936529239428</v>
      </c>
      <c r="O566" s="99">
        <f t="shared" si="841"/>
        <v>0.78414691851905005</v>
      </c>
      <c r="P566" s="99">
        <f t="shared" si="841"/>
        <v>0.77613842259555943</v>
      </c>
      <c r="Q566" s="99">
        <f t="shared" si="841"/>
        <v>0.77018276143622</v>
      </c>
      <c r="R566" s="99">
        <f t="shared" si="841"/>
        <v>0.76462230531985143</v>
      </c>
      <c r="S566" s="99">
        <f t="shared" si="841"/>
        <v>0.75939504279730674</v>
      </c>
      <c r="T566" s="99">
        <f t="shared" si="841"/>
        <v>0.75453444585576912</v>
      </c>
    </row>
    <row r="567" spans="3:20" outlineLevel="1" x14ac:dyDescent="0.2">
      <c r="C567" s="2"/>
      <c r="H567" s="13"/>
      <c r="I567" s="52"/>
      <c r="J567" s="52"/>
      <c r="K567" s="52"/>
      <c r="L567" s="52"/>
      <c r="M567" s="52"/>
      <c r="N567" s="52"/>
      <c r="O567" s="52"/>
      <c r="P567" s="52"/>
      <c r="Q567" s="52"/>
      <c r="R567" s="52"/>
      <c r="S567" s="52"/>
      <c r="T567" s="52"/>
    </row>
    <row r="568" spans="3:20" outlineLevel="1" x14ac:dyDescent="0.2">
      <c r="C568" s="1" t="s">
        <v>3</v>
      </c>
      <c r="H568" s="226">
        <f t="shared" ref="H568:T568" si="842">H635*H$37</f>
        <v>36.57</v>
      </c>
      <c r="I568" s="226">
        <f t="shared" si="842"/>
        <v>40.159999999999997</v>
      </c>
      <c r="J568" s="226">
        <f t="shared" si="842"/>
        <v>47.0016811892364</v>
      </c>
      <c r="K568" s="226">
        <f t="shared" si="842"/>
        <v>53.189901820392635</v>
      </c>
      <c r="L568" s="226">
        <f t="shared" si="842"/>
        <v>59.68895883767037</v>
      </c>
      <c r="M568" s="226">
        <f t="shared" si="842"/>
        <v>66.414022871900201</v>
      </c>
      <c r="N568" s="226">
        <f t="shared" si="842"/>
        <v>72.64312635197895</v>
      </c>
      <c r="O568" s="226">
        <f t="shared" si="842"/>
        <v>79.443457738788837</v>
      </c>
      <c r="P568" s="226">
        <f t="shared" si="842"/>
        <v>86.865698429331829</v>
      </c>
      <c r="Q568" s="226">
        <f t="shared" si="842"/>
        <v>94.964903290686436</v>
      </c>
      <c r="R568" s="226">
        <f t="shared" si="842"/>
        <v>103.75646951433325</v>
      </c>
      <c r="S568" s="226">
        <f t="shared" si="842"/>
        <v>113.29464157375219</v>
      </c>
      <c r="T568" s="226">
        <f t="shared" si="842"/>
        <v>123.68842678701256</v>
      </c>
    </row>
    <row r="569" spans="3:20" outlineLevel="1" x14ac:dyDescent="0.2">
      <c r="C569" s="1" t="s">
        <v>4</v>
      </c>
      <c r="H569" s="226">
        <f t="shared" ref="H569:T569" si="843">H636*H$37</f>
        <v>-3437.58</v>
      </c>
      <c r="I569" s="226">
        <f t="shared" si="843"/>
        <v>-4015.9999999999995</v>
      </c>
      <c r="J569" s="226">
        <f t="shared" si="843"/>
        <v>-5564.0590191817892</v>
      </c>
      <c r="K569" s="226">
        <f t="shared" si="843"/>
        <v>-6663.2319757951182</v>
      </c>
      <c r="L569" s="226">
        <f t="shared" si="843"/>
        <v>-7888.7912447806839</v>
      </c>
      <c r="M569" s="226">
        <f t="shared" si="843"/>
        <v>-9082.7817679610489</v>
      </c>
      <c r="N569" s="226">
        <f t="shared" si="843"/>
        <v>-10134.951059249022</v>
      </c>
      <c r="O569" s="226">
        <f t="shared" si="843"/>
        <v>-11229.72996866647</v>
      </c>
      <c r="P569" s="226">
        <f t="shared" si="843"/>
        <v>-12278.900801478172</v>
      </c>
      <c r="Q569" s="226">
        <f t="shared" si="843"/>
        <v>-13423.763904654947</v>
      </c>
      <c r="R569" s="226">
        <f t="shared" si="843"/>
        <v>-14666.49574819854</v>
      </c>
      <c r="S569" s="226">
        <f t="shared" si="843"/>
        <v>-16014.764059657704</v>
      </c>
      <c r="T569" s="226">
        <f t="shared" si="843"/>
        <v>-17483.977568478116</v>
      </c>
    </row>
    <row r="570" spans="3:20" outlineLevel="1" x14ac:dyDescent="0.2">
      <c r="C570" s="1" t="s">
        <v>5</v>
      </c>
      <c r="H570" s="226">
        <f t="shared" ref="H570:T570" si="844">H637*H$37</f>
        <v>-10385.879999999999</v>
      </c>
      <c r="I570" s="226">
        <f t="shared" si="844"/>
        <v>-12248.8</v>
      </c>
      <c r="J570" s="226">
        <f t="shared" si="844"/>
        <v>-14767.458212846203</v>
      </c>
      <c r="K570" s="226">
        <f t="shared" si="844"/>
        <v>-17078.34665124624</v>
      </c>
      <c r="L570" s="226">
        <f t="shared" si="844"/>
        <v>-19576.486274784966</v>
      </c>
      <c r="M570" s="226">
        <f t="shared" si="844"/>
        <v>-22087.31158650788</v>
      </c>
      <c r="N570" s="226">
        <f t="shared" si="844"/>
        <v>-24359.201630230076</v>
      </c>
      <c r="O570" s="226">
        <f t="shared" si="844"/>
        <v>-26785.553428498773</v>
      </c>
      <c r="P570" s="226">
        <f t="shared" si="844"/>
        <v>-29288.073210925704</v>
      </c>
      <c r="Q570" s="226">
        <f t="shared" si="844"/>
        <v>-32018.841618004328</v>
      </c>
      <c r="R570" s="226">
        <f t="shared" si="844"/>
        <v>-34983.050043800213</v>
      </c>
      <c r="S570" s="226">
        <f t="shared" si="844"/>
        <v>-38198.987826214201</v>
      </c>
      <c r="T570" s="226">
        <f t="shared" si="844"/>
        <v>-41703.408417643135</v>
      </c>
    </row>
    <row r="571" spans="3:20" outlineLevel="1" x14ac:dyDescent="0.2">
      <c r="H571" s="13"/>
      <c r="I571" s="13"/>
    </row>
    <row r="572" spans="3:20" s="2" customFormat="1" outlineLevel="1" x14ac:dyDescent="0.2">
      <c r="C572" s="2" t="s">
        <v>112</v>
      </c>
      <c r="D572" s="44"/>
      <c r="E572" s="24">
        <v>16979.033092610003</v>
      </c>
      <c r="F572" s="24">
        <v>19195.900493659999</v>
      </c>
      <c r="G572" s="24">
        <v>18301.245625970005</v>
      </c>
      <c r="H572" s="83">
        <f>H639*H$37</f>
        <v>19674.66</v>
      </c>
      <c r="I572" s="83">
        <f>I639*I$37</f>
        <v>20682.399999999998</v>
      </c>
      <c r="J572" s="17">
        <f t="shared" ref="J572:T572" si="845">J537+SUM(J568:J570)</f>
        <v>22910.029462069491</v>
      </c>
      <c r="K572" s="17">
        <f t="shared" si="845"/>
        <v>25193.13104771986</v>
      </c>
      <c r="L572" s="17">
        <f t="shared" si="845"/>
        <v>27448.564611091089</v>
      </c>
      <c r="M572" s="17">
        <f t="shared" si="845"/>
        <v>29930.807687679255</v>
      </c>
      <c r="N572" s="17">
        <f t="shared" si="845"/>
        <v>32337.523554341526</v>
      </c>
      <c r="O572" s="17">
        <f t="shared" si="845"/>
        <v>35072.69772252049</v>
      </c>
      <c r="P572" s="17">
        <f t="shared" si="845"/>
        <v>38349.46854258141</v>
      </c>
      <c r="Q572" s="17">
        <f t="shared" si="845"/>
        <v>41925.105504772233</v>
      </c>
      <c r="R572" s="17">
        <f t="shared" si="845"/>
        <v>45806.406161187828</v>
      </c>
      <c r="S572" s="17">
        <f t="shared" si="845"/>
        <v>50017.318361980106</v>
      </c>
      <c r="T572" s="17">
        <f t="shared" si="845"/>
        <v>54605.966657930287</v>
      </c>
    </row>
    <row r="573" spans="3:20" s="58" customFormat="1" outlineLevel="1" x14ac:dyDescent="0.2">
      <c r="C573" s="58" t="s">
        <v>148</v>
      </c>
      <c r="D573" s="43"/>
      <c r="E573" s="93"/>
      <c r="F573" s="93"/>
      <c r="G573" s="93"/>
      <c r="H573" s="94"/>
      <c r="I573" s="95">
        <f t="shared" ref="I573:J573" si="846">IFERROR(I572/H572-1,"")</f>
        <v>5.1220198976754672E-2</v>
      </c>
      <c r="J573" s="95">
        <f t="shared" si="846"/>
        <v>0.10770652642195744</v>
      </c>
      <c r="K573" s="95">
        <f t="shared" ref="K573" si="847">IFERROR(K572/J572-1,"")</f>
        <v>9.9655113470296319E-2</v>
      </c>
      <c r="L573" s="95">
        <f t="shared" ref="L573" si="848">IFERROR(L572/K572-1,"")</f>
        <v>8.9525734578170368E-2</v>
      </c>
      <c r="M573" s="95">
        <f t="shared" ref="M573" si="849">IFERROR(M572/L572-1,"")</f>
        <v>9.0432527593270695E-2</v>
      </c>
      <c r="N573" s="95">
        <f t="shared" ref="N573" si="850">IFERROR(N572/M572-1,"")</f>
        <v>8.0409319112794142E-2</v>
      </c>
      <c r="O573" s="95">
        <f t="shared" ref="O573" si="851">IFERROR(O572/N572-1,"")</f>
        <v>8.4582054144704211E-2</v>
      </c>
      <c r="P573" s="95">
        <f t="shared" ref="P573" si="852">IFERROR(P572/O572-1,"")</f>
        <v>9.3427966276939056E-2</v>
      </c>
      <c r="Q573" s="95">
        <f t="shared" ref="Q573" si="853">IFERROR(Q572/P572-1,"")</f>
        <v>9.3238240269760464E-2</v>
      </c>
      <c r="R573" s="95">
        <f t="shared" ref="R573" si="854">IFERROR(R572/Q572-1,"")</f>
        <v>9.2577003914129596E-2</v>
      </c>
      <c r="S573" s="95">
        <f t="shared" ref="S573" si="855">IFERROR(S572/R572-1,"")</f>
        <v>9.1928456163413719E-2</v>
      </c>
      <c r="T573" s="95">
        <f t="shared" ref="T573" si="856">IFERROR(T572/S572-1,"")</f>
        <v>9.1741189776342935E-2</v>
      </c>
    </row>
    <row r="574" spans="3:20" s="58" customFormat="1" outlineLevel="1" x14ac:dyDescent="0.2">
      <c r="C574" s="58" t="s">
        <v>154</v>
      </c>
      <c r="D574" s="43"/>
      <c r="E574" s="95">
        <f>IFERROR(E572/E$537,"")</f>
        <v>0.67489055053120484</v>
      </c>
      <c r="F574" s="95">
        <f>IFERROR(F572/F$537,"")</f>
        <v>0.66773292097670855</v>
      </c>
      <c r="G574" s="95">
        <f>IFERROR(G572/G$537,"")</f>
        <v>0.58861908056698553</v>
      </c>
      <c r="H574" s="95">
        <f>IFERROR(H572/H$537,"")</f>
        <v>0.58797814207650267</v>
      </c>
      <c r="I574" s="95">
        <f t="shared" ref="I574:T574" si="857">IFERROR(I572/I$537,"")</f>
        <v>0.56039173014145816</v>
      </c>
      <c r="J574" s="95">
        <f t="shared" si="857"/>
        <v>0.53039173014145802</v>
      </c>
      <c r="K574" s="95">
        <f t="shared" si="857"/>
        <v>0.515391730141458</v>
      </c>
      <c r="L574" s="95">
        <f t="shared" si="857"/>
        <v>0.50039173014145799</v>
      </c>
      <c r="M574" s="95">
        <f t="shared" si="857"/>
        <v>0.49039173014145798</v>
      </c>
      <c r="N574" s="95">
        <f t="shared" si="857"/>
        <v>0.48439173014145798</v>
      </c>
      <c r="O574" s="95">
        <f t="shared" si="857"/>
        <v>0.48039173014145797</v>
      </c>
      <c r="P574" s="95">
        <f t="shared" si="857"/>
        <v>0.48039173014145797</v>
      </c>
      <c r="Q574" s="95">
        <f t="shared" si="857"/>
        <v>0.48039173014145803</v>
      </c>
      <c r="R574" s="95">
        <f t="shared" si="857"/>
        <v>0.48039173014145803</v>
      </c>
      <c r="S574" s="95">
        <f t="shared" si="857"/>
        <v>0.48039173014145803</v>
      </c>
      <c r="T574" s="95">
        <f t="shared" si="857"/>
        <v>0.48039173014145803</v>
      </c>
    </row>
    <row r="575" spans="3:20" outlineLevel="1" x14ac:dyDescent="0.2"/>
    <row r="576" spans="3:20" outlineLevel="1" x14ac:dyDescent="0.2">
      <c r="C576" s="1" t="s">
        <v>6</v>
      </c>
      <c r="H576" s="226">
        <f t="shared" ref="H576:T576" si="858">H643*H$37</f>
        <v>-4644.3900000000003</v>
      </c>
      <c r="I576" s="226">
        <f t="shared" si="858"/>
        <v>-4738.8799999999992</v>
      </c>
      <c r="J576" s="226">
        <f t="shared" si="858"/>
        <v>-5916.4680062511989</v>
      </c>
      <c r="K576" s="226">
        <f t="shared" si="858"/>
        <v>-7160.3176421827029</v>
      </c>
      <c r="L576" s="226">
        <f t="shared" si="858"/>
        <v>-8529.4736400332349</v>
      </c>
      <c r="M576" s="226">
        <f t="shared" si="858"/>
        <v>-9796.9365197776751</v>
      </c>
      <c r="N576" s="226">
        <f t="shared" si="858"/>
        <v>-10984.255259137937</v>
      </c>
      <c r="O576" s="226">
        <f t="shared" si="858"/>
        <v>-12233.088772546735</v>
      </c>
      <c r="P576" s="226">
        <f t="shared" si="858"/>
        <v>-13537.344699852258</v>
      </c>
      <c r="Q576" s="226">
        <f t="shared" si="858"/>
        <v>-14888.656840891406</v>
      </c>
      <c r="R576" s="226">
        <f t="shared" si="858"/>
        <v>-16269.015733220491</v>
      </c>
      <c r="S576" s="226">
        <f t="shared" si="858"/>
        <v>-18701.661213330241</v>
      </c>
      <c r="T576" s="226">
        <f t="shared" si="858"/>
        <v>-20460.539559107616</v>
      </c>
    </row>
    <row r="577" spans="3:20" outlineLevel="1" x14ac:dyDescent="0.2">
      <c r="C577" s="1" t="s">
        <v>7</v>
      </c>
      <c r="H577" s="226">
        <f t="shared" ref="H577:T577" si="859">H644*H$37</f>
        <v>-1791.93</v>
      </c>
      <c r="I577" s="226">
        <f t="shared" si="859"/>
        <v>-1807.1999999999998</v>
      </c>
      <c r="J577" s="226">
        <f t="shared" si="859"/>
        <v>-2073.3381606195962</v>
      </c>
      <c r="K577" s="226">
        <f t="shared" si="859"/>
        <v>-2346.31294910116</v>
      </c>
      <c r="L577" s="226">
        <f t="shared" si="859"/>
        <v>-2632.9993522473151</v>
      </c>
      <c r="M577" s="226">
        <f t="shared" si="859"/>
        <v>-2929.6553769252619</v>
      </c>
      <c r="N577" s="226">
        <f t="shared" si="859"/>
        <v>-3204.4335896384951</v>
      </c>
      <c r="O577" s="226">
        <f t="shared" si="859"/>
        <v>-3504.4098077734538</v>
      </c>
      <c r="P577" s="226">
        <f t="shared" si="859"/>
        <v>-3831.8196891146854</v>
      </c>
      <c r="Q577" s="226">
        <f t="shared" si="859"/>
        <v>-4189.0918139587593</v>
      </c>
      <c r="R577" s="226">
        <f t="shared" si="859"/>
        <v>-4576.9053832162681</v>
      </c>
      <c r="S577" s="226">
        <f t="shared" si="859"/>
        <v>-4997.6532291013564</v>
      </c>
      <c r="T577" s="226">
        <f t="shared" si="859"/>
        <v>-5456.143882428697</v>
      </c>
    </row>
    <row r="578" spans="3:20" s="2" customFormat="1" outlineLevel="1" x14ac:dyDescent="0.2">
      <c r="C578" s="4" t="s">
        <v>1008</v>
      </c>
      <c r="D578" s="45"/>
      <c r="E578" s="148"/>
      <c r="F578" s="148"/>
      <c r="G578" s="148"/>
      <c r="H578" s="81">
        <f>SUM(H576:H577)</f>
        <v>-6436.3200000000006</v>
      </c>
      <c r="I578" s="81">
        <f t="shared" ref="I578:T578" si="860">SUM(I576:I577)</f>
        <v>-6546.079999999999</v>
      </c>
      <c r="J578" s="81">
        <f t="shared" si="860"/>
        <v>-7989.8061668707951</v>
      </c>
      <c r="K578" s="81">
        <f t="shared" si="860"/>
        <v>-9506.6305912838634</v>
      </c>
      <c r="L578" s="81">
        <f t="shared" si="860"/>
        <v>-11162.472992280549</v>
      </c>
      <c r="M578" s="81">
        <f t="shared" si="860"/>
        <v>-12726.591896702937</v>
      </c>
      <c r="N578" s="81">
        <f t="shared" si="860"/>
        <v>-14188.688848776432</v>
      </c>
      <c r="O578" s="81">
        <f t="shared" si="860"/>
        <v>-15737.498580320189</v>
      </c>
      <c r="P578" s="81">
        <f t="shared" si="860"/>
        <v>-17369.164388966943</v>
      </c>
      <c r="Q578" s="81">
        <f t="shared" si="860"/>
        <v>-19077.748654850166</v>
      </c>
      <c r="R578" s="81">
        <f t="shared" si="860"/>
        <v>-20845.921116436759</v>
      </c>
      <c r="S578" s="81">
        <f t="shared" si="860"/>
        <v>-23699.314442431598</v>
      </c>
      <c r="T578" s="81">
        <f t="shared" si="860"/>
        <v>-25916.683441536312</v>
      </c>
    </row>
    <row r="579" spans="3:20" outlineLevel="1" x14ac:dyDescent="0.2">
      <c r="C579" s="58" t="s">
        <v>148</v>
      </c>
      <c r="E579" s="93"/>
      <c r="F579" s="93"/>
      <c r="G579" s="93"/>
      <c r="H579" s="94"/>
      <c r="I579" s="95">
        <f t="shared" ref="I579" si="861">IFERROR(I578/H578-1,"")</f>
        <v>1.7053222959703351E-2</v>
      </c>
      <c r="J579" s="95">
        <f t="shared" ref="J579" si="862">IFERROR(J578/I578-1,"")</f>
        <v>0.22054820088828686</v>
      </c>
      <c r="K579" s="95">
        <f t="shared" ref="K579" si="863">IFERROR(K578/J578-1,"")</f>
        <v>0.18984495903073095</v>
      </c>
      <c r="L579" s="95">
        <f t="shared" ref="L579" si="864">IFERROR(L578/K578-1,"")</f>
        <v>0.17417763161165034</v>
      </c>
      <c r="M579" s="95">
        <f t="shared" ref="M579" si="865">IFERROR(M578/L578-1,"")</f>
        <v>0.14012297324294187</v>
      </c>
      <c r="N579" s="95">
        <f t="shared" ref="N579" si="866">IFERROR(N578/M578-1,"")</f>
        <v>0.11488519188332558</v>
      </c>
      <c r="O579" s="95">
        <f t="shared" ref="O579" si="867">IFERROR(O578/N578-1,"")</f>
        <v>0.10915805879253737</v>
      </c>
      <c r="P579" s="95">
        <f t="shared" ref="P579" si="868">IFERROR(P578/O578-1,"")</f>
        <v>0.10368012427890916</v>
      </c>
      <c r="Q579" s="95">
        <f t="shared" ref="Q579" si="869">IFERROR(Q578/P578-1,"")</f>
        <v>9.8368823486323365E-2</v>
      </c>
      <c r="R579" s="95">
        <f t="shared" ref="R579" si="870">IFERROR(R578/Q578-1,"")</f>
        <v>9.2682448729979994E-2</v>
      </c>
      <c r="S579" s="95">
        <f t="shared" ref="S579" si="871">IFERROR(S578/R578-1,"")</f>
        <v>0.13688017478608661</v>
      </c>
      <c r="T579" s="95">
        <f t="shared" ref="T579" si="872">IFERROR(T578/S578-1,"")</f>
        <v>9.3562579816009572E-2</v>
      </c>
    </row>
    <row r="580" spans="3:20" outlineLevel="1" x14ac:dyDescent="0.2">
      <c r="C580" s="58"/>
      <c r="E580" s="93"/>
      <c r="F580" s="93"/>
      <c r="G580" s="93"/>
      <c r="H580" s="94"/>
      <c r="I580" s="95"/>
      <c r="J580" s="95"/>
      <c r="K580" s="95"/>
      <c r="L580" s="95"/>
      <c r="M580" s="95"/>
      <c r="N580" s="95"/>
      <c r="O580" s="95"/>
      <c r="P580" s="95"/>
      <c r="Q580" s="95"/>
      <c r="R580" s="95"/>
      <c r="S580" s="95"/>
      <c r="T580" s="95"/>
    </row>
    <row r="581" spans="3:20" outlineLevel="1" x14ac:dyDescent="0.2">
      <c r="C581" s="1" t="s">
        <v>8</v>
      </c>
      <c r="H581" s="226">
        <f t="shared" ref="H581:T581" si="873">H648*H$37</f>
        <v>-36.57</v>
      </c>
      <c r="I581" s="226">
        <f t="shared" si="873"/>
        <v>-120.47999999999999</v>
      </c>
      <c r="J581" s="226">
        <f t="shared" si="873"/>
        <v>-141.00504356770921</v>
      </c>
      <c r="K581" s="226">
        <f t="shared" si="873"/>
        <v>-159.56970546117793</v>
      </c>
      <c r="L581" s="226">
        <f t="shared" si="873"/>
        <v>-179.06687651301112</v>
      </c>
      <c r="M581" s="226">
        <f t="shared" si="873"/>
        <v>-199.24206861570059</v>
      </c>
      <c r="N581" s="226">
        <f t="shared" si="873"/>
        <v>-217.92937905593683</v>
      </c>
      <c r="O581" s="226">
        <f t="shared" si="873"/>
        <v>-238.33037321636655</v>
      </c>
      <c r="P581" s="226">
        <f t="shared" si="873"/>
        <v>-260.5970952879955</v>
      </c>
      <c r="Q581" s="226">
        <f t="shared" si="873"/>
        <v>-284.89470987205931</v>
      </c>
      <c r="R581" s="226">
        <f t="shared" si="873"/>
        <v>-311.26940854299977</v>
      </c>
      <c r="S581" s="226">
        <f t="shared" si="873"/>
        <v>-339.88392472125656</v>
      </c>
      <c r="T581" s="226">
        <f t="shared" si="873"/>
        <v>-371.06528036103765</v>
      </c>
    </row>
    <row r="582" spans="3:20" outlineLevel="1" x14ac:dyDescent="0.2">
      <c r="C582" s="1" t="s">
        <v>9</v>
      </c>
      <c r="H582" s="226">
        <f t="shared" ref="H582:T582" si="874">H649*H$37</f>
        <v>73.14</v>
      </c>
      <c r="I582" s="226">
        <f t="shared" si="874"/>
        <v>-40.159999999999997</v>
      </c>
      <c r="J582" s="226">
        <f t="shared" si="874"/>
        <v>-47.0016811892364</v>
      </c>
      <c r="K582" s="226">
        <f t="shared" si="874"/>
        <v>-53.189901820392635</v>
      </c>
      <c r="L582" s="226">
        <f t="shared" si="874"/>
        <v>-59.68895883767037</v>
      </c>
      <c r="M582" s="226">
        <f t="shared" si="874"/>
        <v>-66.414022871900201</v>
      </c>
      <c r="N582" s="226">
        <f t="shared" si="874"/>
        <v>-72.64312635197895</v>
      </c>
      <c r="O582" s="226">
        <f t="shared" si="874"/>
        <v>-79.443457738788837</v>
      </c>
      <c r="P582" s="226">
        <f t="shared" si="874"/>
        <v>-86.865698429331829</v>
      </c>
      <c r="Q582" s="226">
        <f t="shared" si="874"/>
        <v>-94.964903290686436</v>
      </c>
      <c r="R582" s="226">
        <f t="shared" si="874"/>
        <v>-103.75646951433325</v>
      </c>
      <c r="S582" s="226">
        <f t="shared" si="874"/>
        <v>-113.29464157375219</v>
      </c>
      <c r="T582" s="226">
        <f t="shared" si="874"/>
        <v>-123.68842678701256</v>
      </c>
    </row>
    <row r="583" spans="3:20" s="2" customFormat="1" outlineLevel="1" x14ac:dyDescent="0.2">
      <c r="C583" s="4" t="s">
        <v>10</v>
      </c>
      <c r="D583" s="45"/>
      <c r="E583" s="16">
        <v>12677.705233989998</v>
      </c>
      <c r="F583" s="16">
        <v>14583.954388980001</v>
      </c>
      <c r="G583" s="16">
        <v>12383.624896850002</v>
      </c>
      <c r="H583" s="81">
        <f>H650*H$37</f>
        <v>13274.91</v>
      </c>
      <c r="I583" s="81">
        <f>I650*I$37</f>
        <v>13975.679999999998</v>
      </c>
      <c r="J583" s="23">
        <f>J572+J578+J581+J582</f>
        <v>14732.216570441749</v>
      </c>
      <c r="K583" s="23">
        <f t="shared" ref="K583:T583" si="875">K572+K578+K581+K582</f>
        <v>15473.740849154427</v>
      </c>
      <c r="L583" s="23">
        <f t="shared" si="875"/>
        <v>16047.335783459859</v>
      </c>
      <c r="M583" s="23">
        <f t="shared" si="875"/>
        <v>16938.559699488716</v>
      </c>
      <c r="N583" s="23">
        <f t="shared" si="875"/>
        <v>17858.262200157176</v>
      </c>
      <c r="O583" s="23">
        <f t="shared" si="875"/>
        <v>19017.425311245148</v>
      </c>
      <c r="P583" s="23">
        <f t="shared" si="875"/>
        <v>20632.841359897142</v>
      </c>
      <c r="Q583" s="23">
        <f t="shared" si="875"/>
        <v>22467.497236759322</v>
      </c>
      <c r="R583" s="23">
        <f t="shared" si="875"/>
        <v>24545.459166693734</v>
      </c>
      <c r="S583" s="23">
        <f t="shared" si="875"/>
        <v>25864.825353253498</v>
      </c>
      <c r="T583" s="23">
        <f t="shared" si="875"/>
        <v>28194.529509245924</v>
      </c>
    </row>
    <row r="584" spans="3:20" s="58" customFormat="1" outlineLevel="1" x14ac:dyDescent="0.2">
      <c r="C584" s="58" t="s">
        <v>148</v>
      </c>
      <c r="D584" s="43"/>
      <c r="E584" s="93"/>
      <c r="F584" s="93"/>
      <c r="G584" s="93"/>
      <c r="H584" s="94"/>
      <c r="I584" s="95"/>
      <c r="J584" s="95">
        <f>IFERROR(J583/I583-1,"")</f>
        <v>5.4132362106298348E-2</v>
      </c>
      <c r="K584" s="95">
        <f t="shared" ref="K584" si="876">IFERROR(K583/J583-1,"")</f>
        <v>5.0333517374462788E-2</v>
      </c>
      <c r="L584" s="95">
        <f t="shared" ref="L584" si="877">IFERROR(L583/K583-1,"")</f>
        <v>3.7068924696175065E-2</v>
      </c>
      <c r="M584" s="95">
        <f t="shared" ref="M584" si="878">IFERROR(M583/L583-1,"")</f>
        <v>5.5537188730571119E-2</v>
      </c>
      <c r="N584" s="95">
        <f t="shared" ref="N584" si="879">IFERROR(N583/M583-1,"")</f>
        <v>5.4296381568748275E-2</v>
      </c>
      <c r="O584" s="95">
        <f t="shared" ref="O584" si="880">IFERROR(O583/N583-1,"")</f>
        <v>6.4909065512419817E-2</v>
      </c>
      <c r="P584" s="95">
        <f t="shared" ref="P584" si="881">IFERROR(P583/O583-1,"")</f>
        <v>8.4943993322628586E-2</v>
      </c>
      <c r="Q584" s="95">
        <f t="shared" ref="Q584" si="882">IFERROR(Q583/P583-1,"")</f>
        <v>8.8919206272195517E-2</v>
      </c>
      <c r="R584" s="95">
        <f t="shared" ref="R584" si="883">IFERROR(R583/Q583-1,"")</f>
        <v>9.2487467920309152E-2</v>
      </c>
      <c r="S584" s="95">
        <f t="shared" ref="S584" si="884">IFERROR(S583/R583-1,"")</f>
        <v>5.3751945628706777E-2</v>
      </c>
      <c r="T584" s="95">
        <f t="shared" ref="T584" si="885">IFERROR(T583/S583-1,"")</f>
        <v>9.0072294097256478E-2</v>
      </c>
    </row>
    <row r="585" spans="3:20" s="58" customFormat="1" outlineLevel="1" x14ac:dyDescent="0.2">
      <c r="C585" s="58" t="s">
        <v>155</v>
      </c>
      <c r="D585" s="43"/>
      <c r="E585" s="95">
        <f>IFERROR(E583/E$537,"")</f>
        <v>0.50391935855074155</v>
      </c>
      <c r="F585" s="95">
        <f>IFERROR(F583/F$537,"")</f>
        <v>0.50730552946766017</v>
      </c>
      <c r="G585" s="95">
        <f>IFERROR(G583/G$537,"")</f>
        <v>0.39829190044455975</v>
      </c>
      <c r="H585" s="95">
        <f>IFERROR(H583/H$537,"")</f>
        <v>0.39672131147540979</v>
      </c>
      <c r="I585" s="95">
        <f t="shared" ref="I585:T585" si="886">IFERROR(I583/I$537,"")</f>
        <v>0.37867247007616978</v>
      </c>
      <c r="J585" s="95">
        <f t="shared" si="886"/>
        <v>0.34106659917448323</v>
      </c>
      <c r="K585" s="95">
        <f t="shared" si="886"/>
        <v>0.31655605065127645</v>
      </c>
      <c r="L585" s="95">
        <f t="shared" si="886"/>
        <v>0.29254550212806973</v>
      </c>
      <c r="M585" s="95">
        <f t="shared" si="886"/>
        <v>0.27752440508165616</v>
      </c>
      <c r="N585" s="95">
        <f t="shared" si="886"/>
        <v>0.26750330803524258</v>
      </c>
      <c r="O585" s="95">
        <f t="shared" si="886"/>
        <v>0.26048221098882923</v>
      </c>
      <c r="P585" s="95">
        <f t="shared" si="886"/>
        <v>0.25846111394241572</v>
      </c>
      <c r="Q585" s="95">
        <f t="shared" si="886"/>
        <v>0.25744001689600221</v>
      </c>
      <c r="R585" s="95">
        <f t="shared" si="886"/>
        <v>0.25741891984958865</v>
      </c>
      <c r="S585" s="95">
        <f t="shared" si="886"/>
        <v>0.24841891984958869</v>
      </c>
      <c r="T585" s="95">
        <f t="shared" si="886"/>
        <v>0.24803917301414571</v>
      </c>
    </row>
    <row r="586" spans="3:20" outlineLevel="1" x14ac:dyDescent="0.2">
      <c r="C586" s="3"/>
      <c r="H586" s="17"/>
      <c r="I586" s="17"/>
    </row>
    <row r="587" spans="3:20" outlineLevel="1" x14ac:dyDescent="0.2">
      <c r="C587" s="1" t="s">
        <v>11</v>
      </c>
      <c r="H587" s="226">
        <f t="shared" ref="H587:T587" si="887">H654*H$37</f>
        <v>-2998.7400000000002</v>
      </c>
      <c r="I587" s="226">
        <f t="shared" si="887"/>
        <v>-3293.12</v>
      </c>
      <c r="J587" s="226">
        <f t="shared" si="887"/>
        <v>-3415.0534521158129</v>
      </c>
      <c r="K587" s="226">
        <f t="shared" si="887"/>
        <v>-1309.1356563969314</v>
      </c>
      <c r="L587" s="226">
        <f t="shared" si="887"/>
        <v>-1363.6829754134703</v>
      </c>
      <c r="M587" s="226">
        <f t="shared" si="887"/>
        <v>-1420.5030993890314</v>
      </c>
      <c r="N587" s="226">
        <f t="shared" si="887"/>
        <v>-1479.6907285302411</v>
      </c>
      <c r="O587" s="226">
        <f t="shared" si="887"/>
        <v>-1541.3445088856679</v>
      </c>
      <c r="P587" s="226">
        <f t="shared" si="887"/>
        <v>-1605.567196755904</v>
      </c>
      <c r="Q587" s="226">
        <f t="shared" si="887"/>
        <v>-1672.4658299540667</v>
      </c>
      <c r="R587" s="226">
        <f t="shared" si="887"/>
        <v>-1742.1519062021528</v>
      </c>
      <c r="S587" s="226">
        <f t="shared" si="887"/>
        <v>-1814.7415689605759</v>
      </c>
      <c r="T587" s="226">
        <f t="shared" si="887"/>
        <v>-1890.3558010006</v>
      </c>
    </row>
    <row r="588" spans="3:20" outlineLevel="1" x14ac:dyDescent="0.2">
      <c r="C588" s="1" t="s">
        <v>12</v>
      </c>
      <c r="H588" s="226">
        <f t="shared" ref="H588:T588" si="888">H655*H$37</f>
        <v>1279.95</v>
      </c>
      <c r="I588" s="226">
        <f t="shared" si="888"/>
        <v>1606.3999999999999</v>
      </c>
      <c r="J588" s="226">
        <f t="shared" si="888"/>
        <v>2653.7098039215684</v>
      </c>
      <c r="K588" s="226">
        <f t="shared" si="888"/>
        <v>2686.3126038618557</v>
      </c>
      <c r="L588" s="226">
        <f t="shared" si="888"/>
        <v>3696.3590814853283</v>
      </c>
      <c r="M588" s="226">
        <f t="shared" si="888"/>
        <v>4890.5905256486776</v>
      </c>
      <c r="N588" s="226">
        <f t="shared" si="888"/>
        <v>6317.277722430119</v>
      </c>
      <c r="O588" s="226">
        <f t="shared" si="888"/>
        <v>8011.7711020800834</v>
      </c>
      <c r="P588" s="226">
        <f t="shared" si="888"/>
        <v>10062.555522173016</v>
      </c>
      <c r="Q588" s="226">
        <f t="shared" si="888"/>
        <v>12531.482234722349</v>
      </c>
      <c r="R588" s="226">
        <f t="shared" si="888"/>
        <v>15510.378706971074</v>
      </c>
      <c r="S588" s="226">
        <f t="shared" si="888"/>
        <v>19085.849641812649</v>
      </c>
      <c r="T588" s="226">
        <f t="shared" si="888"/>
        <v>23274.610580103199</v>
      </c>
    </row>
    <row r="589" spans="3:20" outlineLevel="1" x14ac:dyDescent="0.2">
      <c r="C589" s="1" t="s">
        <v>13</v>
      </c>
      <c r="H589" s="226">
        <f t="shared" ref="H589:T589" si="889">H656*H$37</f>
        <v>-292.56</v>
      </c>
      <c r="I589" s="226">
        <f t="shared" si="889"/>
        <v>80.319999999999993</v>
      </c>
      <c r="J589" s="226">
        <f t="shared" si="889"/>
        <v>0</v>
      </c>
      <c r="K589" s="226">
        <f t="shared" si="889"/>
        <v>0</v>
      </c>
      <c r="L589" s="226">
        <f t="shared" si="889"/>
        <v>0</v>
      </c>
      <c r="M589" s="226">
        <f t="shared" si="889"/>
        <v>0</v>
      </c>
      <c r="N589" s="226">
        <f t="shared" si="889"/>
        <v>0</v>
      </c>
      <c r="O589" s="226">
        <f t="shared" si="889"/>
        <v>0</v>
      </c>
      <c r="P589" s="226">
        <f t="shared" si="889"/>
        <v>0</v>
      </c>
      <c r="Q589" s="226">
        <f t="shared" si="889"/>
        <v>0</v>
      </c>
      <c r="R589" s="226">
        <f t="shared" si="889"/>
        <v>0</v>
      </c>
      <c r="S589" s="226">
        <f t="shared" si="889"/>
        <v>0</v>
      </c>
      <c r="T589" s="226">
        <f t="shared" si="889"/>
        <v>0</v>
      </c>
    </row>
    <row r="590" spans="3:20" outlineLevel="1" x14ac:dyDescent="0.2">
      <c r="C590" s="1" t="s">
        <v>14</v>
      </c>
      <c r="H590" s="226">
        <f t="shared" ref="H590:T590" si="890">H657*H$37</f>
        <v>1389.66</v>
      </c>
      <c r="I590" s="226">
        <f t="shared" si="890"/>
        <v>1566.2399999999998</v>
      </c>
      <c r="J590" s="226">
        <f t="shared" si="890"/>
        <v>1295.8363503872474</v>
      </c>
      <c r="K590" s="226">
        <f t="shared" si="890"/>
        <v>1466.4455931882248</v>
      </c>
      <c r="L590" s="226">
        <f t="shared" si="890"/>
        <v>1645.624595154572</v>
      </c>
      <c r="M590" s="226">
        <f t="shared" si="890"/>
        <v>1831.0346105782885</v>
      </c>
      <c r="N590" s="226">
        <f t="shared" si="890"/>
        <v>2002.7709935240593</v>
      </c>
      <c r="O590" s="226">
        <f t="shared" si="890"/>
        <v>1460.1707532389389</v>
      </c>
      <c r="P590" s="226">
        <f t="shared" si="890"/>
        <v>1596.5915371311191</v>
      </c>
      <c r="Q590" s="226">
        <f t="shared" si="890"/>
        <v>1745.4549224828165</v>
      </c>
      <c r="R590" s="226">
        <f t="shared" si="890"/>
        <v>1907.0439096734449</v>
      </c>
      <c r="S590" s="226">
        <f t="shared" si="890"/>
        <v>2082.3555121255649</v>
      </c>
      <c r="T590" s="226">
        <f t="shared" si="890"/>
        <v>2273.3932843452908</v>
      </c>
    </row>
    <row r="591" spans="3:20" outlineLevel="1" x14ac:dyDescent="0.2">
      <c r="H591" s="13"/>
      <c r="I591" s="13"/>
    </row>
    <row r="592" spans="3:20" s="2" customFormat="1" outlineLevel="1" x14ac:dyDescent="0.2">
      <c r="C592" s="2" t="s">
        <v>15</v>
      </c>
      <c r="D592" s="44"/>
      <c r="E592" s="89"/>
      <c r="F592" s="89"/>
      <c r="G592" s="89"/>
      <c r="H592" s="83">
        <f t="shared" ref="H592:I594" si="891">H659*H$37</f>
        <v>12653.22</v>
      </c>
      <c r="I592" s="83">
        <f t="shared" si="891"/>
        <v>13935.519999999999</v>
      </c>
      <c r="J592" s="17">
        <f>J583+SUM(J587:J590)</f>
        <v>15266.709272634753</v>
      </c>
      <c r="K592" s="17">
        <f>K583+SUM(K587:K590)</f>
        <v>18317.363389807575</v>
      </c>
      <c r="L592" s="17">
        <f t="shared" ref="L592:T592" si="892">L583+SUM(L587:L590)</f>
        <v>20025.636484686289</v>
      </c>
      <c r="M592" s="17">
        <f t="shared" si="892"/>
        <v>22239.681736326653</v>
      </c>
      <c r="N592" s="17">
        <f t="shared" si="892"/>
        <v>24698.620187581113</v>
      </c>
      <c r="O592" s="17">
        <f t="shared" si="892"/>
        <v>26948.022657678503</v>
      </c>
      <c r="P592" s="17">
        <f t="shared" si="892"/>
        <v>30686.421222445373</v>
      </c>
      <c r="Q592" s="17">
        <f t="shared" si="892"/>
        <v>35071.968564010422</v>
      </c>
      <c r="R592" s="17">
        <f t="shared" si="892"/>
        <v>40220.729877136102</v>
      </c>
      <c r="S592" s="17">
        <f t="shared" si="892"/>
        <v>45218.28893823114</v>
      </c>
      <c r="T592" s="17">
        <f t="shared" si="892"/>
        <v>51852.177572693814</v>
      </c>
    </row>
    <row r="593" spans="1:20" outlineLevel="1" x14ac:dyDescent="0.2">
      <c r="C593" s="1" t="s">
        <v>16</v>
      </c>
      <c r="H593" s="226">
        <f t="shared" si="891"/>
        <v>-2377.0500000000002</v>
      </c>
      <c r="I593" s="226">
        <f t="shared" si="891"/>
        <v>-2570.2399999999998</v>
      </c>
      <c r="J593" s="226">
        <f t="shared" ref="J593:T593" si="893">J660*J$37</f>
        <v>-2815.7619407741336</v>
      </c>
      <c r="K593" s="226">
        <f t="shared" si="893"/>
        <v>-3378.4186079184005</v>
      </c>
      <c r="L593" s="226">
        <f t="shared" si="893"/>
        <v>-3693.48914991332</v>
      </c>
      <c r="M593" s="226">
        <f t="shared" si="893"/>
        <v>-4101.8433173628409</v>
      </c>
      <c r="N593" s="226">
        <f t="shared" si="893"/>
        <v>-4555.365106643203</v>
      </c>
      <c r="O593" s="226">
        <f t="shared" si="893"/>
        <v>-4970.2404901770151</v>
      </c>
      <c r="P593" s="226">
        <f t="shared" si="893"/>
        <v>-5659.7433954942462</v>
      </c>
      <c r="Q593" s="226">
        <f t="shared" si="893"/>
        <v>-6468.6051530163304</v>
      </c>
      <c r="R593" s="226">
        <f t="shared" si="893"/>
        <v>-7418.2325998176084</v>
      </c>
      <c r="S593" s="226">
        <f t="shared" si="893"/>
        <v>-8339.9725995584777</v>
      </c>
      <c r="T593" s="226">
        <f t="shared" si="893"/>
        <v>-9563.5140191711926</v>
      </c>
    </row>
    <row r="594" spans="1:20" ht="13.5" outlineLevel="1" thickBot="1" x14ac:dyDescent="0.25">
      <c r="C594" s="5" t="s">
        <v>17</v>
      </c>
      <c r="D594" s="54"/>
      <c r="E594" s="90"/>
      <c r="F594" s="90"/>
      <c r="G594" s="90"/>
      <c r="H594" s="25">
        <f t="shared" si="891"/>
        <v>10276.17</v>
      </c>
      <c r="I594" s="25">
        <f t="shared" si="891"/>
        <v>11365.279999999999</v>
      </c>
      <c r="J594" s="25">
        <f>SUM(J592:J593)</f>
        <v>12450.94733186062</v>
      </c>
      <c r="K594" s="25">
        <f t="shared" ref="K594:T594" si="894">SUM(K592:K593)</f>
        <v>14938.944781889175</v>
      </c>
      <c r="L594" s="25">
        <f t="shared" si="894"/>
        <v>16332.14733477297</v>
      </c>
      <c r="M594" s="25">
        <f t="shared" si="894"/>
        <v>18137.838418963813</v>
      </c>
      <c r="N594" s="25">
        <f t="shared" si="894"/>
        <v>20143.25508093791</v>
      </c>
      <c r="O594" s="25">
        <f t="shared" si="894"/>
        <v>21977.782167501486</v>
      </c>
      <c r="P594" s="25">
        <f t="shared" si="894"/>
        <v>25026.677826951127</v>
      </c>
      <c r="Q594" s="25">
        <f t="shared" si="894"/>
        <v>28603.36341099409</v>
      </c>
      <c r="R594" s="25">
        <f t="shared" si="894"/>
        <v>32802.497277318493</v>
      </c>
      <c r="S594" s="25">
        <f t="shared" si="894"/>
        <v>36878.316338672666</v>
      </c>
      <c r="T594" s="25">
        <f t="shared" si="894"/>
        <v>42288.663553522623</v>
      </c>
    </row>
    <row r="595" spans="1:20" ht="13.5" outlineLevel="1" thickTop="1" x14ac:dyDescent="0.2">
      <c r="C595" s="58" t="s">
        <v>148</v>
      </c>
      <c r="E595" s="93"/>
      <c r="F595" s="93"/>
      <c r="G595" s="93"/>
      <c r="H595" s="94"/>
      <c r="I595" s="95">
        <f>IFERROR(I594/H594-1,"")</f>
        <v>0.10598403880044782</v>
      </c>
      <c r="J595" s="95">
        <f t="shared" ref="J595" si="895">IFERROR(J594/I594-1,"")</f>
        <v>9.5524908480971948E-2</v>
      </c>
      <c r="K595" s="95">
        <f t="shared" ref="K595" si="896">IFERROR(K594/J594-1,"")</f>
        <v>0.19982394782620605</v>
      </c>
      <c r="L595" s="95">
        <f t="shared" ref="L595" si="897">IFERROR(L594/K594-1,"")</f>
        <v>9.3259769898393685E-2</v>
      </c>
      <c r="M595" s="95">
        <f t="shared" ref="M595" si="898">IFERROR(M594/L594-1,"")</f>
        <v>0.11056054339813137</v>
      </c>
      <c r="N595" s="95">
        <f t="shared" ref="N595" si="899">IFERROR(N594/M594-1,"")</f>
        <v>0.11056536151944973</v>
      </c>
      <c r="O595" s="95">
        <f t="shared" ref="O595" si="900">IFERROR(O594/N594-1,"")</f>
        <v>9.1074013568920975E-2</v>
      </c>
      <c r="P595" s="95">
        <f t="shared" ref="P595" si="901">IFERROR(P594/O594-1,"")</f>
        <v>0.13872626619978234</v>
      </c>
      <c r="Q595" s="95">
        <f t="shared" ref="Q595" si="902">IFERROR(Q594/P594-1,"")</f>
        <v>0.14291491698475633</v>
      </c>
      <c r="R595" s="95">
        <f t="shared" ref="R595" si="903">IFERROR(R594/Q594-1,"")</f>
        <v>0.14680559785883118</v>
      </c>
      <c r="S595" s="95">
        <f t="shared" ref="S595" si="904">IFERROR(S594/R594-1,"")</f>
        <v>0.12425331604775192</v>
      </c>
      <c r="T595" s="95">
        <f t="shared" ref="T595" si="905">IFERROR(T594/S594-1,"")</f>
        <v>0.14670808626847109</v>
      </c>
    </row>
    <row r="596" spans="1:20" outlineLevel="1" x14ac:dyDescent="0.2">
      <c r="C596" s="58" t="s">
        <v>276</v>
      </c>
      <c r="E596" s="93"/>
      <c r="F596" s="93"/>
      <c r="G596" s="93"/>
      <c r="H596" s="95">
        <f>IFERROR(H594/H$537,"")</f>
        <v>0.307103825136612</v>
      </c>
      <c r="I596" s="95">
        <f t="shared" ref="I596:T596" si="906">IFERROR(I594/I$537,"")</f>
        <v>0.30794341675734493</v>
      </c>
      <c r="J596" s="95">
        <f t="shared" si="906"/>
        <v>0.28825277192154197</v>
      </c>
      <c r="K596" s="95">
        <f t="shared" si="906"/>
        <v>0.30561539107789515</v>
      </c>
      <c r="L596" s="95">
        <f t="shared" si="906"/>
        <v>0.29773766233553844</v>
      </c>
      <c r="M596" s="95">
        <f t="shared" si="906"/>
        <v>0.29717360306862922</v>
      </c>
      <c r="N596" s="95">
        <f t="shared" si="906"/>
        <v>0.30173077919648722</v>
      </c>
      <c r="O596" s="95">
        <f t="shared" si="906"/>
        <v>0.30103030236361805</v>
      </c>
      <c r="P596" s="95">
        <f t="shared" si="906"/>
        <v>0.31350132134510778</v>
      </c>
      <c r="Q596" s="95">
        <f t="shared" si="906"/>
        <v>0.32774680162243702</v>
      </c>
      <c r="R596" s="95">
        <f t="shared" si="906"/>
        <v>0.34401407446287352</v>
      </c>
      <c r="S596" s="95">
        <f t="shared" si="906"/>
        <v>0.35419808120112123</v>
      </c>
      <c r="T596" s="95">
        <f t="shared" si="906"/>
        <v>0.3720312173412727</v>
      </c>
    </row>
    <row r="597" spans="1:20" outlineLevel="1" x14ac:dyDescent="0.2">
      <c r="C597" s="58"/>
      <c r="E597" s="93"/>
      <c r="F597" s="93"/>
      <c r="G597" s="93"/>
      <c r="H597" s="95"/>
      <c r="I597" s="95"/>
      <c r="J597" s="95"/>
      <c r="K597" s="95"/>
      <c r="L597" s="95"/>
      <c r="M597" s="95"/>
      <c r="N597" s="95"/>
      <c r="O597" s="95"/>
      <c r="P597" s="95"/>
      <c r="Q597" s="95"/>
      <c r="R597" s="95"/>
      <c r="S597" s="95"/>
      <c r="T597" s="95"/>
    </row>
    <row r="598" spans="1:20" x14ac:dyDescent="0.2">
      <c r="A598" s="1" t="s">
        <v>22</v>
      </c>
      <c r="B598" s="34" t="s">
        <v>405</v>
      </c>
      <c r="C598" s="80"/>
      <c r="D598" s="46"/>
      <c r="E598" s="80"/>
      <c r="F598" s="80"/>
      <c r="G598" s="80"/>
      <c r="H598" s="80"/>
      <c r="I598" s="80"/>
      <c r="J598" s="80"/>
      <c r="K598" s="80"/>
      <c r="L598" s="80"/>
      <c r="M598" s="80"/>
      <c r="N598" s="80"/>
      <c r="O598" s="80"/>
      <c r="P598" s="80"/>
      <c r="Q598" s="80"/>
      <c r="R598" s="80"/>
      <c r="S598" s="80"/>
      <c r="T598" s="80"/>
    </row>
    <row r="599" spans="1:20" outlineLevel="1" x14ac:dyDescent="0.2">
      <c r="B599" s="184"/>
      <c r="C599" s="247"/>
      <c r="D599" s="185"/>
      <c r="E599" s="247"/>
      <c r="F599" s="247"/>
      <c r="G599" s="247"/>
      <c r="H599" s="247"/>
      <c r="I599" s="247"/>
      <c r="J599" s="247"/>
      <c r="K599" s="247"/>
      <c r="L599" s="247"/>
      <c r="M599" s="247"/>
      <c r="N599" s="247"/>
      <c r="O599" s="247"/>
      <c r="P599" s="247"/>
      <c r="Q599" s="247"/>
      <c r="R599" s="247"/>
      <c r="S599" s="247"/>
      <c r="T599" s="247"/>
    </row>
    <row r="600" spans="1:20" outlineLevel="1" x14ac:dyDescent="0.2">
      <c r="C600" s="61" t="s">
        <v>139</v>
      </c>
      <c r="D600" s="43" t="s">
        <v>295</v>
      </c>
      <c r="H600" s="70">
        <f>Inputs!H43</f>
        <v>859</v>
      </c>
      <c r="I600" s="70">
        <f>Inputs!I43</f>
        <v>865</v>
      </c>
      <c r="J600" s="13">
        <f t="shared" ref="J600:T600" si="907">J533/J$37</f>
        <v>975.99956902239501</v>
      </c>
      <c r="K600" s="13">
        <f t="shared" si="907"/>
        <v>1059.8902969864516</v>
      </c>
      <c r="L600" s="13">
        <f t="shared" si="907"/>
        <v>1140.915095673902</v>
      </c>
      <c r="M600" s="13">
        <f t="shared" si="907"/>
        <v>1217.2157113308724</v>
      </c>
      <c r="N600" s="13">
        <f t="shared" si="907"/>
        <v>1275.3387453127918</v>
      </c>
      <c r="O600" s="13">
        <f t="shared" si="907"/>
        <v>1336.0447076965975</v>
      </c>
      <c r="P600" s="13">
        <f t="shared" si="907"/>
        <v>1399.43627330705</v>
      </c>
      <c r="Q600" s="13">
        <f t="shared" si="907"/>
        <v>1465.6200921185161</v>
      </c>
      <c r="R600" s="13">
        <f t="shared" si="907"/>
        <v>1534.7069285175312</v>
      </c>
      <c r="S600" s="13">
        <f t="shared" si="907"/>
        <v>1606.8118052872239</v>
      </c>
      <c r="T600" s="13">
        <f t="shared" si="907"/>
        <v>1682.054152449379</v>
      </c>
    </row>
    <row r="601" spans="1:20" outlineLevel="1" x14ac:dyDescent="0.2">
      <c r="C601" s="61" t="s">
        <v>153</v>
      </c>
      <c r="D601" s="43" t="s">
        <v>295</v>
      </c>
      <c r="E601" s="13">
        <f>E534/E$37</f>
        <v>59.426267507418402</v>
      </c>
      <c r="F601" s="13">
        <f>F534/F$37</f>
        <v>68.129829559179186</v>
      </c>
      <c r="G601" s="13">
        <f>G534/G$37</f>
        <v>56.719497572871568</v>
      </c>
      <c r="H601" s="70">
        <f>Inputs!H44</f>
        <v>52</v>
      </c>
      <c r="I601" s="70">
        <f>Inputs!I44</f>
        <v>50</v>
      </c>
      <c r="J601" s="13">
        <f t="shared" ref="J601:T601" si="908">J534/J$37</f>
        <v>52.690750011268349</v>
      </c>
      <c r="K601" s="13">
        <f t="shared" si="908"/>
        <v>58.158284257130795</v>
      </c>
      <c r="L601" s="13">
        <f t="shared" si="908"/>
        <v>63.990321771877724</v>
      </c>
      <c r="M601" s="13">
        <f t="shared" si="908"/>
        <v>70.201788545297006</v>
      </c>
      <c r="N601" s="13">
        <f t="shared" si="908"/>
        <v>76.80811519130549</v>
      </c>
      <c r="O601" s="13">
        <f t="shared" si="908"/>
        <v>83.825251592787737</v>
      </c>
      <c r="P601" s="13">
        <f t="shared" si="908"/>
        <v>91.2696819550291</v>
      </c>
      <c r="Q601" s="13">
        <f t="shared" si="908"/>
        <v>99.158440277911765</v>
      </c>
      <c r="R601" s="13">
        <f t="shared" si="908"/>
        <v>106.80549617412106</v>
      </c>
      <c r="S601" s="13">
        <f t="shared" si="908"/>
        <v>114.15077328595706</v>
      </c>
      <c r="T601" s="13">
        <f t="shared" si="908"/>
        <v>121.87248753719032</v>
      </c>
    </row>
    <row r="602" spans="1:20" s="2" customFormat="1" outlineLevel="1" x14ac:dyDescent="0.2">
      <c r="B602" s="59"/>
      <c r="C602" s="2" t="s">
        <v>0</v>
      </c>
      <c r="D602" s="43" t="s">
        <v>295</v>
      </c>
      <c r="E602" s="89"/>
      <c r="F602" s="89"/>
      <c r="G602" s="89"/>
      <c r="H602" s="17">
        <f>Inputs!H42</f>
        <v>911</v>
      </c>
      <c r="I602" s="17">
        <f>Inputs!I42</f>
        <v>915</v>
      </c>
      <c r="J602" s="17">
        <f>J600+J601</f>
        <v>1028.6903190336634</v>
      </c>
      <c r="K602" s="17">
        <f t="shared" ref="K602:O602" si="909">K600+K601</f>
        <v>1118.0485812435825</v>
      </c>
      <c r="L602" s="17">
        <f t="shared" si="909"/>
        <v>1204.9054174457797</v>
      </c>
      <c r="M602" s="17">
        <f t="shared" si="909"/>
        <v>1287.4174998761694</v>
      </c>
      <c r="N602" s="17">
        <f t="shared" si="909"/>
        <v>1352.1468605040973</v>
      </c>
      <c r="O602" s="17">
        <f t="shared" si="909"/>
        <v>1419.8699592893852</v>
      </c>
      <c r="P602" s="17">
        <f t="shared" ref="P602:T602" si="910">P600+P601</f>
        <v>1490.705955262079</v>
      </c>
      <c r="Q602" s="17">
        <f t="shared" si="910"/>
        <v>1564.7785323964279</v>
      </c>
      <c r="R602" s="17">
        <f t="shared" si="910"/>
        <v>1641.5124246916523</v>
      </c>
      <c r="S602" s="17">
        <f t="shared" si="910"/>
        <v>1720.962578573181</v>
      </c>
      <c r="T602" s="17">
        <f t="shared" si="910"/>
        <v>1803.9266399865694</v>
      </c>
    </row>
    <row r="603" spans="1:20" outlineLevel="1" x14ac:dyDescent="0.2">
      <c r="C603" s="3" t="s">
        <v>27</v>
      </c>
      <c r="D603" s="43" t="s">
        <v>295</v>
      </c>
      <c r="H603" s="70">
        <f>Inputs!H45</f>
        <v>4</v>
      </c>
      <c r="I603" s="70">
        <f>Inputs!I45</f>
        <v>4</v>
      </c>
      <c r="J603" s="71">
        <f t="shared" ref="J603:T603" si="911">J536/J$37</f>
        <v>3.8486055776892436</v>
      </c>
      <c r="K603" s="71">
        <f t="shared" si="911"/>
        <v>3.6946613545816738</v>
      </c>
      <c r="L603" s="71">
        <f t="shared" si="911"/>
        <v>3.5468749003984064</v>
      </c>
      <c r="M603" s="71">
        <f t="shared" si="911"/>
        <v>3.4049999043824704</v>
      </c>
      <c r="N603" s="71">
        <f t="shared" si="911"/>
        <v>3.2687999082071713</v>
      </c>
      <c r="O603" s="71">
        <f t="shared" si="911"/>
        <v>3.1380479118788842</v>
      </c>
      <c r="P603" s="71">
        <f t="shared" si="911"/>
        <v>3.0125259954037289</v>
      </c>
      <c r="Q603" s="71">
        <f t="shared" si="911"/>
        <v>2.8920249555875799</v>
      </c>
      <c r="R603" s="71">
        <f t="shared" si="911"/>
        <v>2.7763439573640767</v>
      </c>
      <c r="S603" s="71">
        <f t="shared" si="911"/>
        <v>2.6652901990695135</v>
      </c>
      <c r="T603" s="71">
        <f t="shared" si="911"/>
        <v>2.5586785911067329</v>
      </c>
    </row>
    <row r="604" spans="1:20" outlineLevel="1" x14ac:dyDescent="0.2">
      <c r="C604" s="4" t="s">
        <v>123</v>
      </c>
      <c r="D604" s="47" t="s">
        <v>295</v>
      </c>
      <c r="E604" s="325">
        <f>E537/E$37</f>
        <v>933.16774615356076</v>
      </c>
      <c r="F604" s="325">
        <f>F537/F$37</f>
        <v>1053.4214703909859</v>
      </c>
      <c r="G604" s="325">
        <f>G537/G$37</f>
        <v>961.40482695145329</v>
      </c>
      <c r="H604" s="23">
        <f>H602+H603</f>
        <v>915</v>
      </c>
      <c r="I604" s="23">
        <f t="shared" ref="I604:O604" si="912">I602+I603</f>
        <v>919</v>
      </c>
      <c r="J604" s="23">
        <f>J602+J603</f>
        <v>1032.5389246113527</v>
      </c>
      <c r="K604" s="23">
        <f t="shared" si="912"/>
        <v>1121.7432425981642</v>
      </c>
      <c r="L604" s="23">
        <f t="shared" si="912"/>
        <v>1208.4522923461782</v>
      </c>
      <c r="M604" s="23">
        <f t="shared" si="912"/>
        <v>1290.8224997805519</v>
      </c>
      <c r="N604" s="23">
        <f t="shared" si="912"/>
        <v>1355.4156604123045</v>
      </c>
      <c r="O604" s="23">
        <f t="shared" si="912"/>
        <v>1423.008007201264</v>
      </c>
      <c r="P604" s="23">
        <f t="shared" ref="P604:T604" si="913">P602+P603</f>
        <v>1493.7184812574826</v>
      </c>
      <c r="Q604" s="23">
        <f t="shared" si="913"/>
        <v>1567.6705573520155</v>
      </c>
      <c r="R604" s="23">
        <f t="shared" si="913"/>
        <v>1644.2887686490164</v>
      </c>
      <c r="S604" s="23">
        <f t="shared" si="913"/>
        <v>1723.6278687722504</v>
      </c>
      <c r="T604" s="23">
        <f t="shared" si="913"/>
        <v>1806.485318577676</v>
      </c>
    </row>
    <row r="605" spans="1:20" outlineLevel="1" x14ac:dyDescent="0.2">
      <c r="C605" s="2"/>
      <c r="E605" s="337"/>
      <c r="F605" s="337"/>
      <c r="G605" s="337"/>
      <c r="H605" s="17"/>
      <c r="I605" s="17"/>
      <c r="J605" s="15">
        <f>J538/J$37</f>
        <v>75.866491172571429</v>
      </c>
      <c r="K605" s="15">
        <f t="shared" ref="K605:T605" si="914">K538/K$37</f>
        <v>83.21073167723398</v>
      </c>
      <c r="L605" s="15">
        <f t="shared" si="914"/>
        <v>131.68977372119136</v>
      </c>
      <c r="M605" s="15">
        <f t="shared" si="914"/>
        <v>151.0338991324449</v>
      </c>
      <c r="N605" s="15">
        <f t="shared" si="914"/>
        <v>168.46852091093442</v>
      </c>
      <c r="O605" s="15">
        <f t="shared" si="914"/>
        <v>183.41109795879677</v>
      </c>
      <c r="P605" s="15">
        <f t="shared" si="914"/>
        <v>199.53850329759783</v>
      </c>
      <c r="Q605" s="15">
        <f t="shared" si="914"/>
        <v>216.93712372205175</v>
      </c>
      <c r="R605" s="15">
        <f t="shared" si="914"/>
        <v>235.69926993604221</v>
      </c>
      <c r="S605" s="15">
        <f t="shared" si="914"/>
        <v>255.92356458533635</v>
      </c>
      <c r="T605" s="15">
        <f t="shared" si="914"/>
        <v>277.71535482786612</v>
      </c>
    </row>
    <row r="606" spans="1:20" outlineLevel="1" x14ac:dyDescent="0.2">
      <c r="C606" s="2" t="s">
        <v>837</v>
      </c>
      <c r="D606" s="43" t="s">
        <v>406</v>
      </c>
      <c r="H606" s="17"/>
      <c r="I606" s="83">
        <f>I604</f>
        <v>919</v>
      </c>
      <c r="J606" s="17">
        <f>J539/J$37</f>
        <v>956.67243343878124</v>
      </c>
      <c r="K606" s="17">
        <f t="shared" ref="K606:T606" si="915">K539/K$37</f>
        <v>1038.53251092093</v>
      </c>
      <c r="L606" s="17">
        <f t="shared" si="915"/>
        <v>1076.7625186249868</v>
      </c>
      <c r="M606" s="17">
        <f t="shared" si="915"/>
        <v>1139.7886006481071</v>
      </c>
      <c r="N606" s="17">
        <f t="shared" si="915"/>
        <v>1186.94713950137</v>
      </c>
      <c r="O606" s="17">
        <f t="shared" si="915"/>
        <v>1239.5969092424673</v>
      </c>
      <c r="P606" s="17">
        <f t="shared" si="915"/>
        <v>1294.1799779598848</v>
      </c>
      <c r="Q606" s="17">
        <f t="shared" si="915"/>
        <v>1350.7334336299637</v>
      </c>
      <c r="R606" s="17">
        <f t="shared" si="915"/>
        <v>1408.5894987129741</v>
      </c>
      <c r="S606" s="17">
        <f t="shared" si="915"/>
        <v>1467.7043041869142</v>
      </c>
      <c r="T606" s="17">
        <f t="shared" si="915"/>
        <v>1528.7699637498097</v>
      </c>
    </row>
    <row r="607" spans="1:20" outlineLevel="1" x14ac:dyDescent="0.2">
      <c r="C607" s="84" t="s">
        <v>148</v>
      </c>
      <c r="H607" s="17"/>
      <c r="I607" s="17"/>
      <c r="J607" s="256">
        <f>J606/I606-1</f>
        <v>4.0992854666791256E-2</v>
      </c>
      <c r="K607" s="256">
        <f>K606/J606-1</f>
        <v>8.556750944301883E-2</v>
      </c>
      <c r="L607" s="256">
        <f t="shared" ref="L607" si="916">L606/K606-1</f>
        <v>3.6811565648682487E-2</v>
      </c>
      <c r="M607" s="256">
        <f t="shared" ref="M607" si="917">M606/L606-1</f>
        <v>5.8532945689457883E-2</v>
      </c>
      <c r="N607" s="256">
        <f t="shared" ref="N607" si="918">N606/M606-1</f>
        <v>4.137481180847713E-2</v>
      </c>
      <c r="O607" s="256">
        <f t="shared" ref="O607" si="919">O606/N606-1</f>
        <v>4.4357299486154966E-2</v>
      </c>
      <c r="P607" s="256">
        <f t="shared" ref="P607" si="920">P606/O606-1</f>
        <v>4.4032917725467691E-2</v>
      </c>
      <c r="Q607" s="256">
        <f t="shared" ref="Q607" si="921">Q606/P606-1</f>
        <v>4.3698292844267517E-2</v>
      </c>
      <c r="R607" s="256">
        <f t="shared" ref="R607" si="922">R606/Q606-1</f>
        <v>4.2833073974875902E-2</v>
      </c>
      <c r="S607" s="256">
        <f t="shared" ref="S607" si="923">S606/R606-1</f>
        <v>4.1967376249754329E-2</v>
      </c>
      <c r="T607" s="256">
        <f t="shared" ref="T607" si="924">T606/S606-1</f>
        <v>4.1606241385743425E-2</v>
      </c>
    </row>
    <row r="608" spans="1:20" outlineLevel="1" x14ac:dyDescent="0.2">
      <c r="C608" s="2"/>
      <c r="H608" s="17"/>
      <c r="I608" s="17"/>
      <c r="J608" s="17">
        <f>0.56*J606</f>
        <v>535.73656272571759</v>
      </c>
      <c r="K608" s="17">
        <f>J608+18</f>
        <v>553.73656272571759</v>
      </c>
      <c r="L608" s="17"/>
      <c r="M608" s="17"/>
      <c r="N608" s="17"/>
      <c r="O608" s="17"/>
      <c r="P608" s="17"/>
      <c r="Q608" s="17"/>
      <c r="R608" s="17"/>
      <c r="S608" s="17"/>
      <c r="T608" s="17"/>
    </row>
    <row r="609" spans="3:22" outlineLevel="1" x14ac:dyDescent="0.2">
      <c r="C609" s="2" t="s">
        <v>148</v>
      </c>
      <c r="H609" s="13"/>
      <c r="I609" s="13"/>
    </row>
    <row r="610" spans="3:22" s="58" customFormat="1" outlineLevel="1" x14ac:dyDescent="0.2">
      <c r="C610" s="60" t="s">
        <v>139</v>
      </c>
      <c r="D610" s="43"/>
      <c r="E610" s="93"/>
      <c r="F610" s="93"/>
      <c r="G610" s="93"/>
      <c r="H610" s="98"/>
      <c r="I610" s="99">
        <f t="shared" ref="I610:T610" si="925">IFERROR(I600/H600-1,"")</f>
        <v>6.9848661233993248E-3</v>
      </c>
      <c r="J610" s="99">
        <f t="shared" si="925"/>
        <v>0.1283232011819595</v>
      </c>
      <c r="K610" s="99">
        <f t="shared" si="925"/>
        <v>8.5953652672291048E-2</v>
      </c>
      <c r="L610" s="99">
        <f t="shared" si="925"/>
        <v>7.6446401026432076E-2</v>
      </c>
      <c r="M610" s="99">
        <f t="shared" si="925"/>
        <v>6.6876681662189963E-2</v>
      </c>
      <c r="N610" s="99">
        <f t="shared" si="925"/>
        <v>4.7750808209967355E-2</v>
      </c>
      <c r="O610" s="99">
        <f t="shared" si="925"/>
        <v>4.759987305875879E-2</v>
      </c>
      <c r="P610" s="99">
        <f t="shared" si="925"/>
        <v>4.7447188889167213E-2</v>
      </c>
      <c r="Q610" s="99">
        <f t="shared" si="925"/>
        <v>4.729319946457089E-2</v>
      </c>
      <c r="R610" s="99">
        <f t="shared" si="925"/>
        <v>4.7138297823927866E-2</v>
      </c>
      <c r="S610" s="99">
        <f t="shared" si="925"/>
        <v>4.6982831334021036E-2</v>
      </c>
      <c r="T610" s="99">
        <f t="shared" si="925"/>
        <v>4.6827106270049601E-2</v>
      </c>
    </row>
    <row r="611" spans="3:22" s="58" customFormat="1" outlineLevel="1" x14ac:dyDescent="0.2">
      <c r="C611" s="60" t="s">
        <v>153</v>
      </c>
      <c r="D611" s="43"/>
      <c r="E611" s="93"/>
      <c r="F611" s="93"/>
      <c r="G611" s="93"/>
      <c r="H611" s="98"/>
      <c r="I611" s="99">
        <f t="shared" ref="I611:T611" si="926">IFERROR(I601/H601-1,"")</f>
        <v>-3.8461538461538436E-2</v>
      </c>
      <c r="J611" s="99">
        <f t="shared" si="926"/>
        <v>5.3815000225367005E-2</v>
      </c>
      <c r="K611" s="99">
        <f t="shared" si="926"/>
        <v>0.10376649117147063</v>
      </c>
      <c r="L611" s="99">
        <f t="shared" si="926"/>
        <v>0.10027870645155534</v>
      </c>
      <c r="M611" s="99">
        <f t="shared" si="926"/>
        <v>9.7068847310423756E-2</v>
      </c>
      <c r="N611" s="99">
        <f t="shared" si="926"/>
        <v>9.4104819590825839E-2</v>
      </c>
      <c r="O611" s="99">
        <f t="shared" si="926"/>
        <v>9.1359309937559363E-2</v>
      </c>
      <c r="P611" s="99">
        <f t="shared" si="926"/>
        <v>8.8808923573596266E-2</v>
      </c>
      <c r="Q611" s="99">
        <f t="shared" si="926"/>
        <v>8.643350293221852E-2</v>
      </c>
      <c r="R611" s="99">
        <f t="shared" si="926"/>
        <v>7.7119566168818876E-2</v>
      </c>
      <c r="S611" s="99">
        <f t="shared" si="926"/>
        <v>6.8772463730342626E-2</v>
      </c>
      <c r="T611" s="99">
        <f t="shared" si="926"/>
        <v>6.7644870279500724E-2</v>
      </c>
    </row>
    <row r="612" spans="3:22" s="100" customFormat="1" outlineLevel="1" x14ac:dyDescent="0.2">
      <c r="C612" s="100" t="s">
        <v>0</v>
      </c>
      <c r="D612" s="44"/>
      <c r="E612" s="101"/>
      <c r="F612" s="101"/>
      <c r="G612" s="101"/>
      <c r="H612" s="94"/>
      <c r="I612" s="102">
        <f t="shared" ref="I612:T612" si="927">IFERROR(I602/H602-1,"")</f>
        <v>4.390779363337094E-3</v>
      </c>
      <c r="J612" s="102">
        <f t="shared" si="927"/>
        <v>0.12425171479088903</v>
      </c>
      <c r="K612" s="102">
        <f t="shared" si="927"/>
        <v>8.686604759133032E-2</v>
      </c>
      <c r="L612" s="102">
        <f t="shared" si="927"/>
        <v>7.7686102070437801E-2</v>
      </c>
      <c r="M612" s="102">
        <f t="shared" si="927"/>
        <v>6.8480132328812227E-2</v>
      </c>
      <c r="N612" s="102">
        <f t="shared" si="927"/>
        <v>5.0278453286640934E-2</v>
      </c>
      <c r="O612" s="102">
        <f t="shared" si="927"/>
        <v>5.0085608866510256E-2</v>
      </c>
      <c r="P612" s="102">
        <f t="shared" si="927"/>
        <v>4.9889072945909607E-2</v>
      </c>
      <c r="Q612" s="102">
        <f t="shared" si="927"/>
        <v>4.968959631031078E-2</v>
      </c>
      <c r="R612" s="102">
        <f t="shared" si="927"/>
        <v>4.9038180615698979E-2</v>
      </c>
      <c r="S612" s="102">
        <f t="shared" si="927"/>
        <v>4.8400580273678218E-2</v>
      </c>
      <c r="T612" s="102">
        <f t="shared" si="927"/>
        <v>4.8207940397037907E-2</v>
      </c>
    </row>
    <row r="613" spans="3:22" s="58" customFormat="1" outlineLevel="1" x14ac:dyDescent="0.2">
      <c r="C613" s="58" t="s">
        <v>27</v>
      </c>
      <c r="D613" s="43"/>
      <c r="E613" s="93"/>
      <c r="F613" s="93"/>
      <c r="G613" s="93"/>
      <c r="H613" s="98"/>
      <c r="I613" s="99">
        <f t="shared" ref="I613:T613" si="928">IFERROR(I603/H603-1,"")</f>
        <v>0</v>
      </c>
      <c r="J613" s="99">
        <f t="shared" si="928"/>
        <v>-3.7848605577689098E-2</v>
      </c>
      <c r="K613" s="99">
        <f t="shared" si="928"/>
        <v>-4.0000000000000036E-2</v>
      </c>
      <c r="L613" s="99">
        <f t="shared" si="928"/>
        <v>-4.0000000000000147E-2</v>
      </c>
      <c r="M613" s="99">
        <f t="shared" si="928"/>
        <v>-3.9999999999999925E-2</v>
      </c>
      <c r="N613" s="99">
        <f t="shared" si="928"/>
        <v>-4.0000000000000036E-2</v>
      </c>
      <c r="O613" s="99">
        <f t="shared" si="928"/>
        <v>-4.0000000000000036E-2</v>
      </c>
      <c r="P613" s="99">
        <f t="shared" si="928"/>
        <v>-4.0000000000000036E-2</v>
      </c>
      <c r="Q613" s="99">
        <f t="shared" si="928"/>
        <v>-3.9999999999999925E-2</v>
      </c>
      <c r="R613" s="99">
        <f t="shared" si="928"/>
        <v>-4.0000000000000036E-2</v>
      </c>
      <c r="S613" s="99">
        <f t="shared" si="928"/>
        <v>-4.0000000000000036E-2</v>
      </c>
      <c r="T613" s="99">
        <f t="shared" si="928"/>
        <v>-4.0000000000000036E-2</v>
      </c>
    </row>
    <row r="614" spans="3:22" s="58" customFormat="1" outlineLevel="1" x14ac:dyDescent="0.2">
      <c r="C614" s="100" t="s">
        <v>123</v>
      </c>
      <c r="D614" s="43"/>
      <c r="E614" s="102" t="str">
        <f>IFERROR(E604/D604-1,"")</f>
        <v/>
      </c>
      <c r="F614" s="102">
        <f>IFERROR(F604/E604-1,"")</f>
        <v>0.12886613873347086</v>
      </c>
      <c r="G614" s="102">
        <f>IFERROR(G604/F604-1,"")</f>
        <v>-8.7350263902804093E-2</v>
      </c>
      <c r="H614" s="102">
        <f>IFERROR(H604/G604-1,"")</f>
        <v>-4.8267728276962907E-2</v>
      </c>
      <c r="I614" s="102">
        <f t="shared" ref="I614:T614" si="929">IFERROR(I604/H604-1,"")</f>
        <v>4.3715846994536456E-3</v>
      </c>
      <c r="J614" s="102">
        <f t="shared" si="929"/>
        <v>0.12354616388612927</v>
      </c>
      <c r="K614" s="102">
        <f t="shared" si="929"/>
        <v>8.6393176916200076E-2</v>
      </c>
      <c r="L614" s="102">
        <f t="shared" si="929"/>
        <v>7.729848191211719E-2</v>
      </c>
      <c r="M614" s="102">
        <f t="shared" si="929"/>
        <v>6.8161737088068275E-2</v>
      </c>
      <c r="N614" s="102">
        <f t="shared" si="929"/>
        <v>5.0040312004736354E-2</v>
      </c>
      <c r="O614" s="102">
        <f t="shared" si="929"/>
        <v>4.9868353128219356E-2</v>
      </c>
      <c r="P614" s="102">
        <f t="shared" si="929"/>
        <v>4.969084762586129E-2</v>
      </c>
      <c r="Q614" s="102">
        <f t="shared" si="929"/>
        <v>4.9508710658970001E-2</v>
      </c>
      <c r="R614" s="102">
        <f t="shared" si="929"/>
        <v>4.8873923757564386E-2</v>
      </c>
      <c r="S614" s="102">
        <f t="shared" si="929"/>
        <v>4.825131791687709E-2</v>
      </c>
      <c r="T614" s="102">
        <f t="shared" si="929"/>
        <v>4.8071542185289307E-2</v>
      </c>
    </row>
    <row r="615" spans="3:22" outlineLevel="1" x14ac:dyDescent="0.2">
      <c r="H615" s="13"/>
      <c r="I615" s="13"/>
    </row>
    <row r="616" spans="3:22" outlineLevel="1" x14ac:dyDescent="0.2">
      <c r="C616" s="100" t="s">
        <v>612</v>
      </c>
      <c r="H616" s="13"/>
      <c r="I616" s="13"/>
    </row>
    <row r="617" spans="3:22" outlineLevel="1" x14ac:dyDescent="0.2">
      <c r="C617" s="343" t="s">
        <v>139</v>
      </c>
      <c r="H617" s="99">
        <f t="shared" ref="H617:T617" si="930">IFERROR(H600/H$604,"")</f>
        <v>0.93879781420765029</v>
      </c>
      <c r="I617" s="99">
        <f t="shared" si="930"/>
        <v>0.94124047878128403</v>
      </c>
      <c r="J617" s="99">
        <f t="shared" si="930"/>
        <v>0.945242397897746</v>
      </c>
      <c r="K617" s="99">
        <f t="shared" si="930"/>
        <v>0.94485997930466714</v>
      </c>
      <c r="L617" s="99">
        <f t="shared" si="930"/>
        <v>0.94411264962627983</v>
      </c>
      <c r="M617" s="99">
        <f t="shared" si="930"/>
        <v>0.94297683185550829</v>
      </c>
      <c r="N617" s="99">
        <f t="shared" si="930"/>
        <v>0.94092076885465969</v>
      </c>
      <c r="O617" s="99">
        <f t="shared" si="930"/>
        <v>0.93888769489378787</v>
      </c>
      <c r="P617" s="99">
        <f t="shared" si="930"/>
        <v>0.93688087204286219</v>
      </c>
      <c r="Q617" s="99">
        <f t="shared" si="930"/>
        <v>0.9349031180340116</v>
      </c>
      <c r="R617" s="99">
        <f t="shared" si="930"/>
        <v>0.93335608548763604</v>
      </c>
      <c r="S617" s="99">
        <f t="shared" si="930"/>
        <v>0.93222663336939704</v>
      </c>
      <c r="T617" s="99">
        <f t="shared" si="930"/>
        <v>0.93111974680964082</v>
      </c>
    </row>
    <row r="618" spans="3:22" outlineLevel="1" x14ac:dyDescent="0.2">
      <c r="C618" s="343" t="s">
        <v>153</v>
      </c>
      <c r="H618" s="99">
        <f t="shared" ref="H618:T618" si="931">IFERROR(H601/H$604,"")</f>
        <v>5.6830601092896178E-2</v>
      </c>
      <c r="I618" s="99">
        <f t="shared" si="931"/>
        <v>5.4406964091403699E-2</v>
      </c>
      <c r="J618" s="99">
        <f t="shared" si="931"/>
        <v>5.1030279590768092E-2</v>
      </c>
      <c r="K618" s="99">
        <f t="shared" si="931"/>
        <v>5.1846342414709347E-2</v>
      </c>
      <c r="L618" s="99">
        <f t="shared" si="931"/>
        <v>5.2952294581395686E-2</v>
      </c>
      <c r="M618" s="99">
        <f t="shared" si="931"/>
        <v>5.4385315221288567E-2</v>
      </c>
      <c r="N618" s="99">
        <f t="shared" si="931"/>
        <v>5.6667572490597604E-2</v>
      </c>
      <c r="O618" s="99">
        <f t="shared" si="931"/>
        <v>5.8907083564240167E-2</v>
      </c>
      <c r="P618" s="99">
        <f t="shared" si="931"/>
        <v>6.110233159744665E-2</v>
      </c>
      <c r="Q618" s="99">
        <f t="shared" si="931"/>
        <v>6.3252090697807267E-2</v>
      </c>
      <c r="R618" s="99">
        <f t="shared" si="931"/>
        <v>6.4955437396726115E-2</v>
      </c>
      <c r="S618" s="99">
        <f t="shared" si="931"/>
        <v>6.6227040856137509E-2</v>
      </c>
      <c r="T618" s="99">
        <f t="shared" si="931"/>
        <v>6.7463868255041123E-2</v>
      </c>
    </row>
    <row r="619" spans="3:22" outlineLevel="1" x14ac:dyDescent="0.2">
      <c r="C619" s="60" t="s">
        <v>0</v>
      </c>
      <c r="H619" s="99">
        <f t="shared" ref="H619:T619" si="932">IFERROR(H602/H$604,"")</f>
        <v>0.99562841530054647</v>
      </c>
      <c r="I619" s="99">
        <f t="shared" si="932"/>
        <v>0.99564744287268769</v>
      </c>
      <c r="J619" s="99">
        <f t="shared" si="932"/>
        <v>0.99627267748851411</v>
      </c>
      <c r="K619" s="99">
        <f t="shared" si="932"/>
        <v>0.99670632171937656</v>
      </c>
      <c r="L619" s="99">
        <f t="shared" si="932"/>
        <v>0.99706494420767544</v>
      </c>
      <c r="M619" s="99">
        <f t="shared" si="932"/>
        <v>0.99736214707679682</v>
      </c>
      <c r="N619" s="99">
        <f t="shared" si="932"/>
        <v>0.9975883413452572</v>
      </c>
      <c r="O619" s="99">
        <f t="shared" si="932"/>
        <v>0.997794778458028</v>
      </c>
      <c r="P619" s="99">
        <f t="shared" si="932"/>
        <v>0.99798320364030879</v>
      </c>
      <c r="Q619" s="99">
        <f t="shared" si="932"/>
        <v>0.99815520873181884</v>
      </c>
      <c r="R619" s="99">
        <f t="shared" si="932"/>
        <v>0.9983115228843622</v>
      </c>
      <c r="S619" s="99">
        <f t="shared" si="932"/>
        <v>0.99845367422553455</v>
      </c>
      <c r="T619" s="99">
        <f t="shared" si="932"/>
        <v>0.99858361506468196</v>
      </c>
    </row>
    <row r="620" spans="3:22" outlineLevel="1" x14ac:dyDescent="0.2">
      <c r="C620" s="60" t="s">
        <v>27</v>
      </c>
      <c r="H620" s="99">
        <f t="shared" ref="H620:T620" si="933">IFERROR(H603/H$604,"")</f>
        <v>4.3715846994535519E-3</v>
      </c>
      <c r="I620" s="99">
        <f t="shared" si="933"/>
        <v>4.3525571273122961E-3</v>
      </c>
      <c r="J620" s="99">
        <f t="shared" si="933"/>
        <v>3.7273225114858089E-3</v>
      </c>
      <c r="K620" s="99">
        <f t="shared" si="933"/>
        <v>3.2936782806234311E-3</v>
      </c>
      <c r="L620" s="99">
        <f t="shared" si="933"/>
        <v>2.9350557923244472E-3</v>
      </c>
      <c r="M620" s="99">
        <f t="shared" si="933"/>
        <v>2.6378529232031068E-3</v>
      </c>
      <c r="N620" s="99">
        <f t="shared" si="933"/>
        <v>2.4116586547427328E-3</v>
      </c>
      <c r="O620" s="99">
        <f t="shared" si="933"/>
        <v>2.205221541972007E-3</v>
      </c>
      <c r="P620" s="99">
        <f t="shared" si="933"/>
        <v>2.016796359691314E-3</v>
      </c>
      <c r="Q620" s="99">
        <f t="shared" si="933"/>
        <v>1.8447912681810895E-3</v>
      </c>
      <c r="R620" s="99">
        <f t="shared" si="933"/>
        <v>1.6884771156377731E-3</v>
      </c>
      <c r="S620" s="99">
        <f t="shared" si="933"/>
        <v>1.5463257744654675E-3</v>
      </c>
      <c r="T620" s="99">
        <f t="shared" si="933"/>
        <v>1.4163849353180968E-3</v>
      </c>
    </row>
    <row r="621" spans="3:22" outlineLevel="1" x14ac:dyDescent="0.2">
      <c r="C621" s="60"/>
      <c r="H621" s="99"/>
      <c r="I621" s="99"/>
      <c r="J621" s="99"/>
      <c r="K621" s="99"/>
      <c r="L621" s="99"/>
      <c r="M621" s="99"/>
      <c r="N621" s="99"/>
      <c r="O621" s="99"/>
      <c r="P621" s="99"/>
      <c r="Q621" s="99"/>
      <c r="R621" s="99"/>
      <c r="S621" s="99"/>
      <c r="T621" s="99"/>
    </row>
    <row r="622" spans="3:22" outlineLevel="1" x14ac:dyDescent="0.2">
      <c r="C622" s="2" t="s">
        <v>411</v>
      </c>
      <c r="H622" s="13"/>
      <c r="I622" s="13"/>
    </row>
    <row r="623" spans="3:22" outlineLevel="1" x14ac:dyDescent="0.2">
      <c r="C623" s="1" t="s">
        <v>392</v>
      </c>
      <c r="D623" s="43" t="s">
        <v>295</v>
      </c>
      <c r="H623" s="13">
        <f t="shared" ref="H623:T623" si="934">H556/H$37</f>
        <v>10.828547990155865</v>
      </c>
      <c r="I623" s="13">
        <f t="shared" si="934"/>
        <v>21.912350597609564</v>
      </c>
      <c r="J623" s="13">
        <f>J556/J$37</f>
        <v>112.26176838019997</v>
      </c>
      <c r="K623" s="13">
        <f t="shared" si="934"/>
        <v>165.16257088226038</v>
      </c>
      <c r="L623" s="13">
        <f t="shared" si="934"/>
        <v>205.01834164814557</v>
      </c>
      <c r="M623" s="13">
        <f t="shared" si="934"/>
        <v>243.20188660936589</v>
      </c>
      <c r="N623" s="13">
        <f t="shared" si="934"/>
        <v>277.50195839915222</v>
      </c>
      <c r="O623" s="13">
        <f t="shared" si="934"/>
        <v>306.48330601484474</v>
      </c>
      <c r="P623" s="13">
        <f t="shared" si="934"/>
        <v>333.71178659116242</v>
      </c>
      <c r="Q623" s="13">
        <f t="shared" si="934"/>
        <v>359.61308127923144</v>
      </c>
      <c r="R623" s="13">
        <f t="shared" si="934"/>
        <v>386.37541031274208</v>
      </c>
      <c r="S623" s="13">
        <f t="shared" si="934"/>
        <v>414.07212756503702</v>
      </c>
      <c r="T623" s="13">
        <f t="shared" si="934"/>
        <v>442.8018523198437</v>
      </c>
      <c r="V623" s="52">
        <f>(T623/I623)^(1/11)-1</f>
        <v>0.3142672268291069</v>
      </c>
    </row>
    <row r="624" spans="3:22" outlineLevel="1" x14ac:dyDescent="0.2">
      <c r="C624" s="1" t="s">
        <v>393</v>
      </c>
      <c r="D624" s="43" t="s">
        <v>295</v>
      </c>
      <c r="H624" s="13">
        <f>H625-H623</f>
        <v>900.17145200984419</v>
      </c>
      <c r="I624" s="13">
        <f t="shared" ref="I624:T624" si="935">I625-I623</f>
        <v>893.08764940239041</v>
      </c>
      <c r="J624" s="13">
        <f t="shared" si="935"/>
        <v>916.42855065346339</v>
      </c>
      <c r="K624" s="13">
        <f t="shared" si="935"/>
        <v>952.88601036132206</v>
      </c>
      <c r="L624" s="13">
        <f t="shared" si="935"/>
        <v>999.88707579763411</v>
      </c>
      <c r="M624" s="13">
        <f t="shared" si="935"/>
        <v>1044.2156132668035</v>
      </c>
      <c r="N624" s="13">
        <f t="shared" si="935"/>
        <v>1074.644902104945</v>
      </c>
      <c r="O624" s="13">
        <f t="shared" si="935"/>
        <v>1113.3866532745405</v>
      </c>
      <c r="P624" s="13">
        <f t="shared" si="935"/>
        <v>1156.9941686709167</v>
      </c>
      <c r="Q624" s="13">
        <f t="shared" si="935"/>
        <v>1205.1654511171964</v>
      </c>
      <c r="R624" s="13">
        <f t="shared" si="935"/>
        <v>1255.1370143789102</v>
      </c>
      <c r="S624" s="13">
        <f t="shared" si="935"/>
        <v>1306.8904510081438</v>
      </c>
      <c r="T624" s="13">
        <f t="shared" si="935"/>
        <v>1361.1247876667258</v>
      </c>
      <c r="V624" s="52">
        <f>(T624/I624)^(1/11)-1</f>
        <v>3.9050640742757325E-2</v>
      </c>
    </row>
    <row r="625" spans="3:20" outlineLevel="1" x14ac:dyDescent="0.2">
      <c r="C625" s="4" t="s">
        <v>394</v>
      </c>
      <c r="D625" s="47" t="s">
        <v>295</v>
      </c>
      <c r="E625" s="148"/>
      <c r="F625" s="148"/>
      <c r="G625" s="148"/>
      <c r="H625" s="23">
        <f t="shared" ref="H625:T625" si="936">H602</f>
        <v>911</v>
      </c>
      <c r="I625" s="23">
        <f t="shared" si="936"/>
        <v>915</v>
      </c>
      <c r="J625" s="23">
        <f t="shared" si="936"/>
        <v>1028.6903190336634</v>
      </c>
      <c r="K625" s="23">
        <f t="shared" si="936"/>
        <v>1118.0485812435825</v>
      </c>
      <c r="L625" s="23">
        <f t="shared" si="936"/>
        <v>1204.9054174457797</v>
      </c>
      <c r="M625" s="23">
        <f t="shared" si="936"/>
        <v>1287.4174998761694</v>
      </c>
      <c r="N625" s="23">
        <f t="shared" si="936"/>
        <v>1352.1468605040973</v>
      </c>
      <c r="O625" s="23">
        <f t="shared" si="936"/>
        <v>1419.8699592893852</v>
      </c>
      <c r="P625" s="23">
        <f t="shared" si="936"/>
        <v>1490.705955262079</v>
      </c>
      <c r="Q625" s="23">
        <f t="shared" si="936"/>
        <v>1564.7785323964279</v>
      </c>
      <c r="R625" s="23">
        <f t="shared" si="936"/>
        <v>1641.5124246916523</v>
      </c>
      <c r="S625" s="23">
        <f t="shared" si="936"/>
        <v>1720.962578573181</v>
      </c>
      <c r="T625" s="23">
        <f t="shared" si="936"/>
        <v>1803.9266399865694</v>
      </c>
    </row>
    <row r="626" spans="3:20" outlineLevel="1" x14ac:dyDescent="0.2">
      <c r="D626" s="44"/>
      <c r="E626" s="89"/>
      <c r="F626" s="89"/>
      <c r="G626" s="89"/>
      <c r="H626" s="17"/>
      <c r="I626" s="17"/>
      <c r="J626" s="17"/>
      <c r="K626" s="17"/>
      <c r="L626" s="17"/>
      <c r="M626" s="17"/>
      <c r="N626" s="17"/>
      <c r="O626" s="17"/>
      <c r="P626" s="17"/>
      <c r="Q626" s="17"/>
      <c r="R626" s="17"/>
      <c r="S626" s="17"/>
      <c r="T626" s="17"/>
    </row>
    <row r="627" spans="3:20" s="58" customFormat="1" outlineLevel="1" x14ac:dyDescent="0.2">
      <c r="C627" s="342" t="s">
        <v>148</v>
      </c>
      <c r="D627" s="44"/>
      <c r="E627" s="101"/>
      <c r="F627" s="101"/>
      <c r="G627" s="101"/>
      <c r="H627" s="94"/>
      <c r="I627" s="94"/>
      <c r="J627" s="94"/>
      <c r="K627" s="94"/>
      <c r="L627" s="94"/>
      <c r="M627" s="94"/>
      <c r="N627" s="94"/>
      <c r="O627" s="94"/>
      <c r="P627" s="94"/>
      <c r="Q627" s="94"/>
      <c r="R627" s="94"/>
      <c r="S627" s="94"/>
      <c r="T627" s="94"/>
    </row>
    <row r="628" spans="3:20" s="58" customFormat="1" outlineLevel="1" x14ac:dyDescent="0.2">
      <c r="C628" s="60" t="s">
        <v>392</v>
      </c>
      <c r="D628" s="43"/>
      <c r="E628" s="93"/>
      <c r="F628" s="93"/>
      <c r="G628" s="93"/>
      <c r="H628" s="98"/>
      <c r="I628" s="99">
        <f>I623/H623-1</f>
        <v>1.0235723771580347</v>
      </c>
      <c r="J628" s="99">
        <f>J623/I623-1</f>
        <v>4.1232188842600346</v>
      </c>
      <c r="K628" s="99">
        <f t="shared" ref="K628:T628" si="937">K623/J623-1</f>
        <v>0.47122723314761839</v>
      </c>
      <c r="L628" s="99">
        <f t="shared" si="937"/>
        <v>0.24131236607050166</v>
      </c>
      <c r="M628" s="99">
        <f t="shared" si="937"/>
        <v>0.18624453136369268</v>
      </c>
      <c r="N628" s="99">
        <f t="shared" si="937"/>
        <v>0.14103538532527726</v>
      </c>
      <c r="O628" s="99">
        <f t="shared" si="937"/>
        <v>0.10443655166572352</v>
      </c>
      <c r="P628" s="99">
        <f t="shared" si="937"/>
        <v>8.8841643384644398E-2</v>
      </c>
      <c r="Q628" s="99">
        <f t="shared" si="937"/>
        <v>7.7615762249959808E-2</v>
      </c>
      <c r="R628" s="99">
        <f t="shared" si="937"/>
        <v>7.4419787340078036E-2</v>
      </c>
      <c r="S628" s="99">
        <f t="shared" si="937"/>
        <v>7.1683436660413991E-2</v>
      </c>
      <c r="T628" s="99">
        <f t="shared" si="937"/>
        <v>6.9383382368073621E-2</v>
      </c>
    </row>
    <row r="629" spans="3:20" s="58" customFormat="1" outlineLevel="1" x14ac:dyDescent="0.2">
      <c r="C629" s="60" t="s">
        <v>393</v>
      </c>
      <c r="D629" s="43"/>
      <c r="E629" s="93"/>
      <c r="F629" s="93"/>
      <c r="G629" s="93"/>
      <c r="H629" s="98"/>
      <c r="I629" s="99">
        <f>I624/H624-1</f>
        <v>-7.8693926491865129E-3</v>
      </c>
      <c r="J629" s="99">
        <f>J624/I624-1</f>
        <v>2.6135062181961155E-2</v>
      </c>
      <c r="K629" s="99">
        <f t="shared" ref="K629:T629" si="938">K624/J624-1</f>
        <v>3.9782108143469053E-2</v>
      </c>
      <c r="L629" s="99">
        <f t="shared" si="938"/>
        <v>4.932496114460716E-2</v>
      </c>
      <c r="M629" s="99">
        <f t="shared" si="938"/>
        <v>4.4333543799240926E-2</v>
      </c>
      <c r="N629" s="99">
        <f t="shared" si="938"/>
        <v>2.9140810050660049E-2</v>
      </c>
      <c r="O629" s="99">
        <f t="shared" si="938"/>
        <v>3.6050746710574622E-2</v>
      </c>
      <c r="P629" s="99">
        <f t="shared" si="938"/>
        <v>3.9166551231886615E-2</v>
      </c>
      <c r="Q629" s="99">
        <f t="shared" si="938"/>
        <v>4.1634853269499228E-2</v>
      </c>
      <c r="R629" s="99">
        <f t="shared" si="938"/>
        <v>4.1464483748177239E-2</v>
      </c>
      <c r="S629" s="99">
        <f t="shared" si="938"/>
        <v>4.1233296473885961E-2</v>
      </c>
      <c r="T629" s="99">
        <f t="shared" si="938"/>
        <v>4.1498762667326217E-2</v>
      </c>
    </row>
    <row r="630" spans="3:20" s="58" customFormat="1" outlineLevel="1" x14ac:dyDescent="0.2">
      <c r="D630" s="43"/>
      <c r="E630" s="93"/>
      <c r="F630" s="93"/>
      <c r="G630" s="93"/>
      <c r="H630" s="98"/>
      <c r="I630" s="98"/>
      <c r="J630" s="93"/>
      <c r="K630" s="93"/>
      <c r="L630" s="93"/>
      <c r="M630" s="93"/>
      <c r="N630" s="93"/>
      <c r="O630" s="93"/>
      <c r="P630" s="93"/>
      <c r="Q630" s="93"/>
      <c r="R630" s="93"/>
      <c r="S630" s="93"/>
      <c r="T630" s="93"/>
    </row>
    <row r="631" spans="3:20" s="58" customFormat="1" outlineLevel="1" x14ac:dyDescent="0.2">
      <c r="C631" s="342" t="s">
        <v>613</v>
      </c>
      <c r="D631" s="43"/>
      <c r="E631" s="93"/>
      <c r="F631" s="93"/>
      <c r="G631" s="93"/>
      <c r="H631" s="98"/>
      <c r="I631" s="99"/>
      <c r="J631" s="99"/>
      <c r="K631" s="99"/>
      <c r="L631" s="99"/>
      <c r="M631" s="99"/>
      <c r="N631" s="99"/>
      <c r="O631" s="99"/>
      <c r="P631" s="99"/>
      <c r="Q631" s="99"/>
      <c r="R631" s="99"/>
      <c r="S631" s="99"/>
      <c r="T631" s="99"/>
    </row>
    <row r="632" spans="3:20" s="58" customFormat="1" outlineLevel="1" x14ac:dyDescent="0.2">
      <c r="C632" s="60" t="s">
        <v>392</v>
      </c>
      <c r="D632" s="43"/>
      <c r="E632" s="93"/>
      <c r="F632" s="93"/>
      <c r="G632" s="93"/>
      <c r="H632" s="99">
        <f>IFERROR(H623/H625,"")</f>
        <v>1.1886441262520159E-2</v>
      </c>
      <c r="I632" s="99">
        <f t="shared" ref="I632:T632" si="939">IFERROR(I623/I625,"")</f>
        <v>2.3947924150392964E-2</v>
      </c>
      <c r="J632" s="99">
        <f t="shared" si="939"/>
        <v>0.10913077172307505</v>
      </c>
      <c r="K632" s="99">
        <f t="shared" si="939"/>
        <v>0.1477239662506914</v>
      </c>
      <c r="L632" s="99">
        <f t="shared" si="939"/>
        <v>0.17015305822323712</v>
      </c>
      <c r="M632" s="99">
        <f t="shared" si="939"/>
        <v>0.18890677393522951</v>
      </c>
      <c r="N632" s="99">
        <f t="shared" si="939"/>
        <v>0.20523063470760566</v>
      </c>
      <c r="O632" s="99">
        <f t="shared" si="939"/>
        <v>0.21585308148094995</v>
      </c>
      <c r="P632" s="99">
        <f t="shared" si="939"/>
        <v>0.22386157740444057</v>
      </c>
      <c r="Q632" s="99">
        <f t="shared" si="939"/>
        <v>0.22981723856378</v>
      </c>
      <c r="R632" s="99">
        <f t="shared" si="939"/>
        <v>0.23537769468014855</v>
      </c>
      <c r="S632" s="99">
        <f t="shared" si="939"/>
        <v>0.24060495720269337</v>
      </c>
      <c r="T632" s="99">
        <f t="shared" si="939"/>
        <v>0.24546555414423085</v>
      </c>
    </row>
    <row r="633" spans="3:20" s="58" customFormat="1" outlineLevel="1" x14ac:dyDescent="0.2">
      <c r="C633" s="60" t="s">
        <v>393</v>
      </c>
      <c r="D633" s="43"/>
      <c r="E633" s="93"/>
      <c r="F633" s="93"/>
      <c r="G633" s="93"/>
      <c r="H633" s="99">
        <f>IFERROR(H624/H625,"")</f>
        <v>0.98811355873747986</v>
      </c>
      <c r="I633" s="99">
        <f t="shared" ref="I633:T633" si="940">IFERROR(I624/I625,"")</f>
        <v>0.97605207584960696</v>
      </c>
      <c r="J633" s="99">
        <f t="shared" si="940"/>
        <v>0.89086922827692494</v>
      </c>
      <c r="K633" s="99">
        <f t="shared" si="940"/>
        <v>0.8522760337493086</v>
      </c>
      <c r="L633" s="99">
        <f t="shared" si="940"/>
        <v>0.82984694177676288</v>
      </c>
      <c r="M633" s="99">
        <f t="shared" si="940"/>
        <v>0.81109322606477052</v>
      </c>
      <c r="N633" s="99">
        <f t="shared" si="940"/>
        <v>0.79476936529239428</v>
      </c>
      <c r="O633" s="99">
        <f t="shared" si="940"/>
        <v>0.78414691851905016</v>
      </c>
      <c r="P633" s="99">
        <f t="shared" si="940"/>
        <v>0.77613842259555954</v>
      </c>
      <c r="Q633" s="99">
        <f t="shared" si="940"/>
        <v>0.77018276143622</v>
      </c>
      <c r="R633" s="99">
        <f t="shared" si="940"/>
        <v>0.76462230531985143</v>
      </c>
      <c r="S633" s="99">
        <f t="shared" si="940"/>
        <v>0.75939504279730652</v>
      </c>
      <c r="T633" s="99">
        <f t="shared" si="940"/>
        <v>0.75453444585576912</v>
      </c>
    </row>
    <row r="634" spans="3:20" s="58" customFormat="1" outlineLevel="1" x14ac:dyDescent="0.2">
      <c r="C634" s="60"/>
      <c r="D634" s="43"/>
      <c r="E634" s="93"/>
      <c r="F634" s="93"/>
      <c r="G634" s="93"/>
      <c r="H634" s="99"/>
      <c r="I634" s="99"/>
      <c r="J634" s="99"/>
      <c r="K634" s="99"/>
      <c r="L634" s="99"/>
      <c r="M634" s="99"/>
      <c r="N634" s="99"/>
      <c r="O634" s="99"/>
      <c r="P634" s="99"/>
      <c r="Q634" s="99"/>
      <c r="R634" s="99"/>
      <c r="S634" s="99"/>
      <c r="T634" s="99"/>
    </row>
    <row r="635" spans="3:20" outlineLevel="1" x14ac:dyDescent="0.2">
      <c r="C635" s="1" t="s">
        <v>3</v>
      </c>
      <c r="D635" s="43" t="s">
        <v>295</v>
      </c>
      <c r="H635" s="70">
        <f>Inputs!H21</f>
        <v>1</v>
      </c>
      <c r="I635" s="70">
        <f>Inputs!I21</f>
        <v>1</v>
      </c>
      <c r="J635" s="13">
        <f t="shared" ref="J635:T635" si="941">J352*J$604</f>
        <v>1.1235461638861293</v>
      </c>
      <c r="K635" s="13">
        <f t="shared" si="941"/>
        <v>1.2206128863962613</v>
      </c>
      <c r="L635" s="13">
        <f t="shared" si="941"/>
        <v>1.3149644095170601</v>
      </c>
      <c r="M635" s="13">
        <f t="shared" si="941"/>
        <v>1.4045946678787289</v>
      </c>
      <c r="N635" s="13">
        <f t="shared" si="941"/>
        <v>1.4748810232995697</v>
      </c>
      <c r="O635" s="13">
        <f t="shared" si="941"/>
        <v>1.5484309109915821</v>
      </c>
      <c r="P635" s="13">
        <f t="shared" si="941"/>
        <v>1.6253737554488386</v>
      </c>
      <c r="Q635" s="13">
        <f t="shared" si="941"/>
        <v>1.7058439144200388</v>
      </c>
      <c r="R635" s="13">
        <f t="shared" si="941"/>
        <v>1.7892151998357089</v>
      </c>
      <c r="S635" s="13">
        <f t="shared" si="941"/>
        <v>1.8755471912646904</v>
      </c>
      <c r="T635" s="13">
        <f t="shared" si="941"/>
        <v>1.9657076371900719</v>
      </c>
    </row>
    <row r="636" spans="3:20" outlineLevel="1" x14ac:dyDescent="0.2">
      <c r="C636" s="1" t="s">
        <v>4</v>
      </c>
      <c r="D636" s="43" t="s">
        <v>295</v>
      </c>
      <c r="H636" s="70">
        <f>Inputs!H22</f>
        <v>-94</v>
      </c>
      <c r="I636" s="70">
        <f>Inputs!I22</f>
        <v>-100</v>
      </c>
      <c r="J636" s="13">
        <f t="shared" ref="J636:T636" si="942">J353*J$604</f>
        <v>-133.00539488083959</v>
      </c>
      <c r="K636" s="13">
        <f t="shared" si="942"/>
        <v>-152.90922781107523</v>
      </c>
      <c r="L636" s="13">
        <f t="shared" si="942"/>
        <v>-173.79227118382178</v>
      </c>
      <c r="M636" s="13">
        <f t="shared" si="942"/>
        <v>-192.0923667790945</v>
      </c>
      <c r="N636" s="13">
        <f t="shared" si="942"/>
        <v>-205.77097572768557</v>
      </c>
      <c r="O636" s="13">
        <f t="shared" si="942"/>
        <v>-218.87845142321459</v>
      </c>
      <c r="P636" s="13">
        <f t="shared" si="942"/>
        <v>-229.75470720147004</v>
      </c>
      <c r="Q636" s="13">
        <f t="shared" si="942"/>
        <v>-241.12956652284399</v>
      </c>
      <c r="R636" s="13">
        <f t="shared" si="942"/>
        <v>-252.91451457277603</v>
      </c>
      <c r="S636" s="13">
        <f t="shared" si="942"/>
        <v>-265.1179732212197</v>
      </c>
      <c r="T636" s="13">
        <f t="shared" si="942"/>
        <v>-277.86260305500195</v>
      </c>
    </row>
    <row r="637" spans="3:20" outlineLevel="1" x14ac:dyDescent="0.2">
      <c r="C637" s="1" t="s">
        <v>5</v>
      </c>
      <c r="D637" s="43" t="s">
        <v>295</v>
      </c>
      <c r="H637" s="70">
        <f>Inputs!H23</f>
        <v>-284</v>
      </c>
      <c r="I637" s="70">
        <f>Inputs!I23</f>
        <v>-305</v>
      </c>
      <c r="J637" s="13">
        <f t="shared" ref="J637:T637" si="943">J354*J$604</f>
        <v>-353.00696923138338</v>
      </c>
      <c r="K637" s="13">
        <f t="shared" si="943"/>
        <v>-391.91743709632811</v>
      </c>
      <c r="L637" s="13">
        <f t="shared" si="943"/>
        <v>-431.27545221135836</v>
      </c>
      <c r="M637" s="13">
        <f t="shared" si="943"/>
        <v>-467.12604869642951</v>
      </c>
      <c r="N637" s="13">
        <f t="shared" si="943"/>
        <v>-494.56742889997543</v>
      </c>
      <c r="O637" s="13">
        <f t="shared" si="943"/>
        <v>-522.07670810447746</v>
      </c>
      <c r="P637" s="13">
        <f t="shared" si="943"/>
        <v>-548.01914225590838</v>
      </c>
      <c r="Q637" s="13">
        <f t="shared" si="943"/>
        <v>-575.15086340543303</v>
      </c>
      <c r="R637" s="13">
        <f t="shared" si="943"/>
        <v>-603.26074285260756</v>
      </c>
      <c r="S637" s="13">
        <f t="shared" si="943"/>
        <v>-632.36886874276013</v>
      </c>
      <c r="T637" s="13">
        <f t="shared" si="943"/>
        <v>-662.76781549319139</v>
      </c>
    </row>
    <row r="638" spans="3:20" outlineLevel="1" x14ac:dyDescent="0.2">
      <c r="H638" s="13"/>
      <c r="I638" s="13"/>
    </row>
    <row r="639" spans="3:20" outlineLevel="1" x14ac:dyDescent="0.2">
      <c r="C639" s="2" t="s">
        <v>112</v>
      </c>
      <c r="D639" s="43" t="s">
        <v>295</v>
      </c>
      <c r="H639" s="17">
        <f t="shared" ref="H639:T639" si="944">H604+SUM(H635:H637)</f>
        <v>538</v>
      </c>
      <c r="I639" s="17">
        <f t="shared" si="944"/>
        <v>515</v>
      </c>
      <c r="J639" s="17">
        <f t="shared" si="944"/>
        <v>547.65010666301589</v>
      </c>
      <c r="K639" s="17">
        <f t="shared" si="944"/>
        <v>578.13719057715707</v>
      </c>
      <c r="L639" s="17">
        <f t="shared" si="944"/>
        <v>604.69953336051503</v>
      </c>
      <c r="M639" s="17">
        <f t="shared" si="944"/>
        <v>633.00867897290664</v>
      </c>
      <c r="N639" s="17">
        <f t="shared" si="944"/>
        <v>656.55213680794304</v>
      </c>
      <c r="O639" s="17">
        <f t="shared" si="944"/>
        <v>683.6012785845636</v>
      </c>
      <c r="P639" s="17">
        <f t="shared" si="944"/>
        <v>717.57000555555305</v>
      </c>
      <c r="Q639" s="17">
        <f t="shared" si="944"/>
        <v>753.09597133815851</v>
      </c>
      <c r="R639" s="17">
        <f t="shared" si="944"/>
        <v>789.90272642346849</v>
      </c>
      <c r="S639" s="17">
        <f t="shared" si="944"/>
        <v>828.01657399953524</v>
      </c>
      <c r="T639" s="17">
        <f t="shared" si="944"/>
        <v>867.82060766667269</v>
      </c>
    </row>
    <row r="640" spans="3:20" s="58" customFormat="1" outlineLevel="1" x14ac:dyDescent="0.2">
      <c r="C640" s="58" t="s">
        <v>148</v>
      </c>
      <c r="D640" s="43"/>
      <c r="E640" s="93"/>
      <c r="F640" s="93"/>
      <c r="G640" s="93"/>
      <c r="H640" s="94"/>
      <c r="I640" s="95">
        <f>IFERROR(I639/H639-1,"")</f>
        <v>-4.2750929368029711E-2</v>
      </c>
      <c r="J640" s="95">
        <f t="shared" ref="J640:O640" si="945">IFERROR(J639/I639-1,"")</f>
        <v>6.3398265365079309E-2</v>
      </c>
      <c r="K640" s="95">
        <f t="shared" si="945"/>
        <v>5.5668908931484351E-2</v>
      </c>
      <c r="L640" s="95">
        <f t="shared" si="945"/>
        <v>4.5944705195043234E-2</v>
      </c>
      <c r="M640" s="95">
        <f t="shared" si="945"/>
        <v>4.6815226489539841E-2</v>
      </c>
      <c r="N640" s="95">
        <f t="shared" si="945"/>
        <v>3.7192946348282296E-2</v>
      </c>
      <c r="O640" s="95">
        <f t="shared" si="945"/>
        <v>4.1198771978915971E-2</v>
      </c>
      <c r="P640" s="95">
        <f t="shared" ref="P640" si="946">IFERROR(P639/O639-1,"")</f>
        <v>4.969084762586129E-2</v>
      </c>
      <c r="Q640" s="95">
        <f t="shared" ref="Q640" si="947">IFERROR(Q639/P639-1,"")</f>
        <v>4.9508710658970223E-2</v>
      </c>
      <c r="R640" s="95">
        <f t="shared" ref="R640" si="948">IFERROR(R639/Q639-1,"")</f>
        <v>4.8873923757564386E-2</v>
      </c>
      <c r="S640" s="95">
        <f t="shared" ref="S640" si="949">IFERROR(S639/R639-1,"")</f>
        <v>4.825131791687709E-2</v>
      </c>
      <c r="T640" s="95">
        <f t="shared" ref="T640" si="950">IFERROR(T639/S639-1,"")</f>
        <v>4.8071542185289307E-2</v>
      </c>
    </row>
    <row r="641" spans="2:20" s="58" customFormat="1" outlineLevel="1" x14ac:dyDescent="0.2">
      <c r="C641" s="58" t="s">
        <v>154</v>
      </c>
      <c r="D641" s="43"/>
      <c r="E641" s="93"/>
      <c r="F641" s="93"/>
      <c r="G641" s="93"/>
      <c r="H641" s="95">
        <f>IFERROR(H639/H$604,"")</f>
        <v>0.58797814207650279</v>
      </c>
      <c r="I641" s="95">
        <f>IFERROR(I639/I$604,"")</f>
        <v>0.56039173014145816</v>
      </c>
      <c r="J641" s="95">
        <f t="shared" ref="J641:O641" si="951">IFERROR(J639/J$604,"")</f>
        <v>0.53039173014145802</v>
      </c>
      <c r="K641" s="95">
        <f t="shared" si="951"/>
        <v>0.515391730141458</v>
      </c>
      <c r="L641" s="95">
        <f t="shared" si="951"/>
        <v>0.50039173014145799</v>
      </c>
      <c r="M641" s="95">
        <f t="shared" si="951"/>
        <v>0.49039173014145798</v>
      </c>
      <c r="N641" s="95">
        <f t="shared" si="951"/>
        <v>0.48439173014145798</v>
      </c>
      <c r="O641" s="95">
        <f t="shared" si="951"/>
        <v>0.48039173014145803</v>
      </c>
      <c r="P641" s="95">
        <f t="shared" ref="P641:T641" si="952">IFERROR(P639/P$604,"")</f>
        <v>0.48039173014145797</v>
      </c>
      <c r="Q641" s="95">
        <f t="shared" si="952"/>
        <v>0.48039173014145803</v>
      </c>
      <c r="R641" s="95">
        <f t="shared" si="952"/>
        <v>0.48039173014145797</v>
      </c>
      <c r="S641" s="95">
        <f t="shared" si="952"/>
        <v>0.48039173014145797</v>
      </c>
      <c r="T641" s="95">
        <f t="shared" si="952"/>
        <v>0.48039173014145797</v>
      </c>
    </row>
    <row r="642" spans="2:20" outlineLevel="1" x14ac:dyDescent="0.2"/>
    <row r="643" spans="2:20" outlineLevel="1" x14ac:dyDescent="0.2">
      <c r="C643" s="1" t="s">
        <v>6</v>
      </c>
      <c r="D643" s="43" t="s">
        <v>295</v>
      </c>
      <c r="H643" s="70">
        <f>Inputs!H24</f>
        <v>-127</v>
      </c>
      <c r="I643" s="70">
        <f>Inputs!I24</f>
        <v>-118</v>
      </c>
      <c r="J643" s="13">
        <f t="shared" ref="J643:T643" si="953">-J411</f>
        <v>-141.42951409365418</v>
      </c>
      <c r="K643" s="13">
        <f t="shared" si="953"/>
        <v>-164.31645266522858</v>
      </c>
      <c r="L643" s="13">
        <f t="shared" si="953"/>
        <v>-187.90668302760071</v>
      </c>
      <c r="M643" s="13">
        <f t="shared" si="953"/>
        <v>-207.19607399431126</v>
      </c>
      <c r="N643" s="13">
        <f t="shared" si="953"/>
        <v>-223.0144880918896</v>
      </c>
      <c r="O643" s="13">
        <f t="shared" si="953"/>
        <v>-238.43489862434353</v>
      </c>
      <c r="P643" s="13">
        <f t="shared" si="953"/>
        <v>-253.30188085121625</v>
      </c>
      <c r="Q643" s="13">
        <f t="shared" si="953"/>
        <v>-267.44327415551356</v>
      </c>
      <c r="R643" s="13">
        <f t="shared" si="953"/>
        <v>-280.54896598253293</v>
      </c>
      <c r="S643" s="13">
        <f t="shared" si="953"/>
        <v>-309.5984741503575</v>
      </c>
      <c r="T643" s="13">
        <f t="shared" si="953"/>
        <v>-325.16735734398168</v>
      </c>
    </row>
    <row r="644" spans="2:20" outlineLevel="1" x14ac:dyDescent="0.2">
      <c r="C644" s="1" t="s">
        <v>7</v>
      </c>
      <c r="D644" s="43" t="s">
        <v>295</v>
      </c>
      <c r="H644" s="70">
        <f>Inputs!H25</f>
        <v>-49</v>
      </c>
      <c r="I644" s="70">
        <f>Inputs!I25</f>
        <v>-45</v>
      </c>
      <c r="J644" s="13">
        <f t="shared" ref="J644:T644" si="954">-J417</f>
        <v>-49.561868381344937</v>
      </c>
      <c r="K644" s="13">
        <f t="shared" si="954"/>
        <v>-53.84367564471188</v>
      </c>
      <c r="L644" s="13">
        <f t="shared" si="954"/>
        <v>-58.005710032616548</v>
      </c>
      <c r="M644" s="13">
        <f t="shared" si="954"/>
        <v>-61.959479989466494</v>
      </c>
      <c r="N644" s="13">
        <f t="shared" si="954"/>
        <v>-65.059951699790616</v>
      </c>
      <c r="O644" s="13">
        <f t="shared" si="954"/>
        <v>-68.304384345660679</v>
      </c>
      <c r="P644" s="13">
        <f t="shared" si="954"/>
        <v>-71.698487100359159</v>
      </c>
      <c r="Q644" s="13">
        <f t="shared" si="954"/>
        <v>-75.248186752896743</v>
      </c>
      <c r="R644" s="13">
        <f t="shared" si="954"/>
        <v>-78.925860895152795</v>
      </c>
      <c r="S644" s="13">
        <f t="shared" si="954"/>
        <v>-82.734137701068022</v>
      </c>
      <c r="T644" s="13">
        <f t="shared" si="954"/>
        <v>-86.711295291728447</v>
      </c>
    </row>
    <row r="645" spans="2:20" outlineLevel="1" x14ac:dyDescent="0.2">
      <c r="B645" s="4"/>
      <c r="C645" s="4" t="s">
        <v>1008</v>
      </c>
      <c r="D645" s="45"/>
      <c r="E645" s="148"/>
      <c r="F645" s="148"/>
      <c r="G645" s="148"/>
      <c r="H645" s="81">
        <f>SUM(H643:H644)</f>
        <v>-176</v>
      </c>
      <c r="I645" s="81">
        <f t="shared" ref="I645:T645" si="955">SUM(I643:I644)</f>
        <v>-163</v>
      </c>
      <c r="J645" s="81">
        <f t="shared" si="955"/>
        <v>-190.99138247499911</v>
      </c>
      <c r="K645" s="81">
        <f t="shared" si="955"/>
        <v>-218.16012830994046</v>
      </c>
      <c r="L645" s="81">
        <f t="shared" si="955"/>
        <v>-245.91239306021725</v>
      </c>
      <c r="M645" s="81">
        <f t="shared" si="955"/>
        <v>-269.15555398377774</v>
      </c>
      <c r="N645" s="81">
        <f t="shared" si="955"/>
        <v>-288.07443979168022</v>
      </c>
      <c r="O645" s="81">
        <f t="shared" si="955"/>
        <v>-306.73928297000418</v>
      </c>
      <c r="P645" s="81">
        <f t="shared" si="955"/>
        <v>-325.00036795157541</v>
      </c>
      <c r="Q645" s="81">
        <f t="shared" si="955"/>
        <v>-342.69146090841031</v>
      </c>
      <c r="R645" s="81">
        <f t="shared" si="955"/>
        <v>-359.4748268776857</v>
      </c>
      <c r="S645" s="81">
        <f t="shared" si="955"/>
        <v>-392.33261185142555</v>
      </c>
      <c r="T645" s="81">
        <f t="shared" si="955"/>
        <v>-411.87865263571013</v>
      </c>
    </row>
    <row r="646" spans="2:20" outlineLevel="1" x14ac:dyDescent="0.2">
      <c r="B646" s="2"/>
      <c r="C646" s="58" t="s">
        <v>148</v>
      </c>
      <c r="E646" s="93"/>
      <c r="F646" s="93"/>
      <c r="G646" s="93"/>
      <c r="H646" s="94"/>
      <c r="I646" s="95">
        <f>IFERROR(I645/H645-1,"")</f>
        <v>-7.3863636363636354E-2</v>
      </c>
      <c r="J646" s="95">
        <f t="shared" ref="J646" si="956">IFERROR(J645/I645-1,"")</f>
        <v>0.17172627285275532</v>
      </c>
      <c r="K646" s="95">
        <f t="shared" ref="K646" si="957">IFERROR(K645/J645-1,"")</f>
        <v>0.14225116066950161</v>
      </c>
      <c r="L646" s="95">
        <f t="shared" ref="L646" si="958">IFERROR(L645/K645-1,"")</f>
        <v>0.12721052634718433</v>
      </c>
      <c r="M646" s="95">
        <f t="shared" ref="M646" si="959">IFERROR(M645/L645-1,"")</f>
        <v>9.451805431322402E-2</v>
      </c>
      <c r="N646" s="95">
        <f t="shared" ref="N646" si="960">IFERROR(N645/M645-1,"")</f>
        <v>7.0289784207992811E-2</v>
      </c>
      <c r="O646" s="95">
        <f t="shared" ref="O646" si="961">IFERROR(O645/N645-1,"")</f>
        <v>6.479173644083569E-2</v>
      </c>
      <c r="P646" s="95">
        <f t="shared" ref="P646" si="962">IFERROR(P645/O645-1,"")</f>
        <v>5.9532919307752952E-2</v>
      </c>
      <c r="Q646" s="95">
        <f t="shared" ref="Q646" si="963">IFERROR(Q645/P645-1,"")</f>
        <v>5.4434070546870439E-2</v>
      </c>
      <c r="R646" s="95">
        <f t="shared" ref="R646" si="964">IFERROR(R645/Q645-1,"")</f>
        <v>4.8975150780780741E-2</v>
      </c>
      <c r="S646" s="95">
        <f t="shared" ref="S646" si="965">IFERROR(S645/R645-1,"")</f>
        <v>9.1404967794643355E-2</v>
      </c>
      <c r="T646" s="95">
        <f t="shared" ref="T646" si="966">IFERROR(T645/S645-1,"")</f>
        <v>4.9820076623369181E-2</v>
      </c>
    </row>
    <row r="647" spans="2:20" outlineLevel="1" x14ac:dyDescent="0.2">
      <c r="H647" s="71"/>
      <c r="I647" s="71"/>
      <c r="J647" s="71"/>
      <c r="K647" s="71"/>
      <c r="L647" s="71"/>
      <c r="M647" s="71"/>
      <c r="N647" s="71"/>
      <c r="O647" s="71"/>
      <c r="P647" s="71"/>
      <c r="Q647" s="71"/>
      <c r="R647" s="71"/>
      <c r="S647" s="71"/>
      <c r="T647" s="71"/>
    </row>
    <row r="648" spans="2:20" outlineLevel="1" x14ac:dyDescent="0.2">
      <c r="C648" s="1" t="s">
        <v>8</v>
      </c>
      <c r="D648" s="43" t="s">
        <v>295</v>
      </c>
      <c r="H648" s="70">
        <f>Inputs!H26</f>
        <v>-1</v>
      </c>
      <c r="I648" s="70">
        <f>Inputs!I26</f>
        <v>-3</v>
      </c>
      <c r="J648" s="13">
        <f t="shared" ref="J648:T648" si="967">J358*J$604</f>
        <v>-3.3706384916583878</v>
      </c>
      <c r="K648" s="13">
        <f t="shared" si="967"/>
        <v>-3.6618386591887844</v>
      </c>
      <c r="L648" s="13">
        <f t="shared" si="967"/>
        <v>-3.9448932285511802</v>
      </c>
      <c r="M648" s="13">
        <f t="shared" si="967"/>
        <v>-4.2137840036361869</v>
      </c>
      <c r="N648" s="13">
        <f t="shared" si="967"/>
        <v>-4.4246430698987087</v>
      </c>
      <c r="O648" s="13">
        <f t="shared" si="967"/>
        <v>-4.6452927329747471</v>
      </c>
      <c r="P648" s="13">
        <f t="shared" si="967"/>
        <v>-4.8761212663465159</v>
      </c>
      <c r="Q648" s="13">
        <f t="shared" si="967"/>
        <v>-5.1175317432601162</v>
      </c>
      <c r="R648" s="13">
        <f t="shared" si="967"/>
        <v>-5.3676455995071271</v>
      </c>
      <c r="S648" s="13">
        <f t="shared" si="967"/>
        <v>-5.6266415737940711</v>
      </c>
      <c r="T648" s="13">
        <f t="shared" si="967"/>
        <v>-5.8971229115702153</v>
      </c>
    </row>
    <row r="649" spans="2:20" outlineLevel="1" x14ac:dyDescent="0.2">
      <c r="C649" s="1" t="s">
        <v>9</v>
      </c>
      <c r="D649" s="43" t="s">
        <v>295</v>
      </c>
      <c r="H649" s="70">
        <f>Inputs!H27</f>
        <v>2</v>
      </c>
      <c r="I649" s="70">
        <f>Inputs!I27</f>
        <v>-1</v>
      </c>
      <c r="J649" s="13">
        <f t="shared" ref="J649:T649" si="968">J359*J$604</f>
        <v>-1.1235461638861293</v>
      </c>
      <c r="K649" s="13">
        <f t="shared" si="968"/>
        <v>-1.2206128863962613</v>
      </c>
      <c r="L649" s="13">
        <f t="shared" si="968"/>
        <v>-1.3149644095170601</v>
      </c>
      <c r="M649" s="13">
        <f t="shared" si="968"/>
        <v>-1.4045946678787289</v>
      </c>
      <c r="N649" s="13">
        <f t="shared" si="968"/>
        <v>-1.4748810232995697</v>
      </c>
      <c r="O649" s="13">
        <f t="shared" si="968"/>
        <v>-1.5484309109915821</v>
      </c>
      <c r="P649" s="13">
        <f t="shared" si="968"/>
        <v>-1.6253737554488386</v>
      </c>
      <c r="Q649" s="13">
        <f t="shared" si="968"/>
        <v>-1.7058439144200388</v>
      </c>
      <c r="R649" s="13">
        <f t="shared" si="968"/>
        <v>-1.7892151998357089</v>
      </c>
      <c r="S649" s="13">
        <f t="shared" si="968"/>
        <v>-1.8755471912646904</v>
      </c>
      <c r="T649" s="13">
        <f t="shared" si="968"/>
        <v>-1.9657076371900719</v>
      </c>
    </row>
    <row r="650" spans="2:20" outlineLevel="1" x14ac:dyDescent="0.2">
      <c r="C650" s="4" t="s">
        <v>10</v>
      </c>
      <c r="D650" s="47" t="s">
        <v>295</v>
      </c>
      <c r="E650" s="325">
        <f>E583/E$37</f>
        <v>470.24129206194357</v>
      </c>
      <c r="F650" s="325">
        <f>F583/F$37</f>
        <v>534.40653678930016</v>
      </c>
      <c r="G650" s="325">
        <f>G583/G$37</f>
        <v>382.91975562306743</v>
      </c>
      <c r="H650" s="23">
        <f>H639+H645+H648+H649</f>
        <v>363</v>
      </c>
      <c r="I650" s="23">
        <f t="shared" ref="I650:T650" si="969">I639+I645+I648+I649</f>
        <v>348</v>
      </c>
      <c r="J650" s="23">
        <f t="shared" si="969"/>
        <v>352.16453953247225</v>
      </c>
      <c r="K650" s="23">
        <f t="shared" si="969"/>
        <v>355.09461072163157</v>
      </c>
      <c r="L650" s="23">
        <f t="shared" si="969"/>
        <v>353.52728266222954</v>
      </c>
      <c r="M650" s="23">
        <f t="shared" si="969"/>
        <v>358.234746317614</v>
      </c>
      <c r="N650" s="23">
        <f t="shared" si="969"/>
        <v>362.57817292306453</v>
      </c>
      <c r="O650" s="23">
        <f t="shared" si="969"/>
        <v>370.66827197059314</v>
      </c>
      <c r="P650" s="23">
        <f t="shared" si="969"/>
        <v>386.0681425821823</v>
      </c>
      <c r="Q650" s="23">
        <f t="shared" si="969"/>
        <v>403.58113477206803</v>
      </c>
      <c r="R650" s="23">
        <f t="shared" si="969"/>
        <v>423.27103874643996</v>
      </c>
      <c r="S650" s="23">
        <f t="shared" si="969"/>
        <v>428.18177338305094</v>
      </c>
      <c r="T650" s="23">
        <f t="shared" si="969"/>
        <v>448.0791244822023</v>
      </c>
    </row>
    <row r="651" spans="2:20" s="58" customFormat="1" outlineLevel="1" x14ac:dyDescent="0.2">
      <c r="C651" s="58" t="s">
        <v>148</v>
      </c>
      <c r="D651" s="43"/>
      <c r="E651" s="93"/>
      <c r="F651" s="93"/>
      <c r="G651" s="93"/>
      <c r="H651" s="94"/>
      <c r="I651" s="95">
        <f>IFERROR(I650/H650-1,"")</f>
        <v>-4.132231404958675E-2</v>
      </c>
      <c r="J651" s="95">
        <f>IFERROR(J650/I650-1,"")</f>
        <v>1.196706762204669E-2</v>
      </c>
      <c r="K651" s="95">
        <f t="shared" ref="K651:O651" si="970">IFERROR(K650/J650-1,"")</f>
        <v>8.3201766794840371E-3</v>
      </c>
      <c r="L651" s="95">
        <f t="shared" si="970"/>
        <v>-4.4138322916725814E-3</v>
      </c>
      <c r="M651" s="95">
        <f t="shared" si="970"/>
        <v>1.3315701181348727E-2</v>
      </c>
      <c r="N651" s="95">
        <f t="shared" si="970"/>
        <v>1.2124526305998362E-2</v>
      </c>
      <c r="O651" s="95">
        <f t="shared" si="970"/>
        <v>2.2312702891922997E-2</v>
      </c>
      <c r="P651" s="95">
        <f t="shared" ref="P651" si="971">IFERROR(P650/O650-1,"")</f>
        <v>4.1546233589722759E-2</v>
      </c>
      <c r="Q651" s="95">
        <f t="shared" ref="Q651" si="972">IFERROR(Q650/P650-1,"")</f>
        <v>4.5362438021308016E-2</v>
      </c>
      <c r="R651" s="95">
        <f t="shared" ref="R651" si="973">IFERROR(R650/Q650-1,"")</f>
        <v>4.8787969203496706E-2</v>
      </c>
      <c r="S651" s="95">
        <f t="shared" ref="S651" si="974">IFERROR(S650/R650-1,"")</f>
        <v>1.1601867803558319E-2</v>
      </c>
      <c r="T651" s="95">
        <f t="shared" ref="T651" si="975">IFERROR(T650/S650-1,"")</f>
        <v>4.6469402333366494E-2</v>
      </c>
    </row>
    <row r="652" spans="2:20" s="58" customFormat="1" outlineLevel="1" x14ac:dyDescent="0.2">
      <c r="C652" s="58" t="s">
        <v>155</v>
      </c>
      <c r="D652" s="43"/>
      <c r="E652" s="93"/>
      <c r="F652" s="93"/>
      <c r="G652" s="93"/>
      <c r="H652" s="95">
        <f>IFERROR(H650/H$604,"")</f>
        <v>0.39672131147540984</v>
      </c>
      <c r="I652" s="95">
        <f>IFERROR(I650/I$604,"")</f>
        <v>0.37867247007616978</v>
      </c>
      <c r="J652" s="95">
        <f>IFERROR(J650/J$604,"")</f>
        <v>0.34106659917448329</v>
      </c>
      <c r="K652" s="95">
        <f t="shared" ref="K652:O652" si="976">IFERROR(K650/K$604,"")</f>
        <v>0.31655605065127645</v>
      </c>
      <c r="L652" s="95">
        <f t="shared" si="976"/>
        <v>0.29254550212806968</v>
      </c>
      <c r="M652" s="95">
        <f t="shared" si="976"/>
        <v>0.27752440508165621</v>
      </c>
      <c r="N652" s="95">
        <f t="shared" si="976"/>
        <v>0.26750330803524264</v>
      </c>
      <c r="O652" s="95">
        <f t="shared" si="976"/>
        <v>0.26048221098882929</v>
      </c>
      <c r="P652" s="95">
        <f t="shared" ref="P652:T652" si="977">IFERROR(P650/P$604,"")</f>
        <v>0.25846111394241567</v>
      </c>
      <c r="Q652" s="95">
        <f t="shared" si="977"/>
        <v>0.25744001689600216</v>
      </c>
      <c r="R652" s="95">
        <f t="shared" si="977"/>
        <v>0.25741891984958865</v>
      </c>
      <c r="S652" s="95">
        <f t="shared" si="977"/>
        <v>0.24841891984958864</v>
      </c>
      <c r="T652" s="95">
        <f t="shared" si="977"/>
        <v>0.24803917301414571</v>
      </c>
    </row>
    <row r="653" spans="2:20" outlineLevel="1" x14ac:dyDescent="0.2">
      <c r="C653" s="3"/>
      <c r="H653" s="17"/>
      <c r="I653" s="17"/>
    </row>
    <row r="654" spans="2:20" outlineLevel="1" x14ac:dyDescent="0.2">
      <c r="C654" s="1" t="s">
        <v>11</v>
      </c>
      <c r="D654" s="43" t="s">
        <v>295</v>
      </c>
      <c r="H654" s="70">
        <f>Inputs!H29</f>
        <v>-82</v>
      </c>
      <c r="I654" s="70">
        <f>Inputs!I29</f>
        <v>-82</v>
      </c>
      <c r="J654" s="13">
        <f t="shared" ref="J654:T654" si="978">J498</f>
        <v>-81.634743875278403</v>
      </c>
      <c r="K654" s="13">
        <f t="shared" si="978"/>
        <v>-30.042316258351892</v>
      </c>
      <c r="L654" s="13">
        <f t="shared" si="978"/>
        <v>-30.042316258351892</v>
      </c>
      <c r="M654" s="13">
        <f t="shared" si="978"/>
        <v>-30.042316258351892</v>
      </c>
      <c r="N654" s="13">
        <f t="shared" si="978"/>
        <v>-30.042316258351892</v>
      </c>
      <c r="O654" s="13">
        <f t="shared" si="978"/>
        <v>-30.042316258351892</v>
      </c>
      <c r="P654" s="13">
        <f t="shared" si="978"/>
        <v>-30.042316258351892</v>
      </c>
      <c r="Q654" s="13">
        <f t="shared" si="978"/>
        <v>-30.042316258351892</v>
      </c>
      <c r="R654" s="13">
        <f t="shared" si="978"/>
        <v>-30.042316258351892</v>
      </c>
      <c r="S654" s="13">
        <f t="shared" si="978"/>
        <v>-30.042316258351892</v>
      </c>
      <c r="T654" s="13">
        <f t="shared" si="978"/>
        <v>-30.042316258351892</v>
      </c>
    </row>
    <row r="655" spans="2:20" outlineLevel="1" x14ac:dyDescent="0.2">
      <c r="C655" s="1" t="s">
        <v>12</v>
      </c>
      <c r="D655" s="43" t="s">
        <v>295</v>
      </c>
      <c r="H655" s="70">
        <f>Inputs!H30</f>
        <v>35</v>
      </c>
      <c r="I655" s="70">
        <f>Inputs!I30</f>
        <v>40</v>
      </c>
      <c r="J655" s="13">
        <f t="shared" ref="J655:T655" si="979">J474</f>
        <v>63.435294117647061</v>
      </c>
      <c r="K655" s="13">
        <f t="shared" si="979"/>
        <v>61.646058160335812</v>
      </c>
      <c r="L655" s="13">
        <f t="shared" si="979"/>
        <v>81.431821422236141</v>
      </c>
      <c r="M655" s="13">
        <f t="shared" si="979"/>
        <v>103.43143026215877</v>
      </c>
      <c r="N655" s="13">
        <f t="shared" si="979"/>
        <v>128.26035303850173</v>
      </c>
      <c r="O655" s="13">
        <f t="shared" si="979"/>
        <v>156.1572768778509</v>
      </c>
      <c r="P655" s="13">
        <f t="shared" si="979"/>
        <v>188.28391360707798</v>
      </c>
      <c r="Q655" s="13">
        <f t="shared" si="979"/>
        <v>225.10161089018291</v>
      </c>
      <c r="R655" s="13">
        <f t="shared" si="979"/>
        <v>267.46674658091666</v>
      </c>
      <c r="S655" s="13">
        <f t="shared" si="979"/>
        <v>315.95855895178659</v>
      </c>
      <c r="T655" s="13">
        <f t="shared" si="979"/>
        <v>369.88973793575349</v>
      </c>
    </row>
    <row r="656" spans="2:20" outlineLevel="1" x14ac:dyDescent="0.2">
      <c r="C656" s="1" t="s">
        <v>13</v>
      </c>
      <c r="D656" s="43" t="s">
        <v>295</v>
      </c>
      <c r="H656" s="70">
        <f>Inputs!H31</f>
        <v>-8</v>
      </c>
      <c r="I656" s="70">
        <f>Inputs!I31</f>
        <v>2</v>
      </c>
      <c r="J656" s="21">
        <f t="shared" ref="J656:T656" si="980">J361*J$604</f>
        <v>0</v>
      </c>
      <c r="K656" s="21">
        <f t="shared" si="980"/>
        <v>0</v>
      </c>
      <c r="L656" s="21">
        <f t="shared" si="980"/>
        <v>0</v>
      </c>
      <c r="M656" s="21">
        <f t="shared" si="980"/>
        <v>0</v>
      </c>
      <c r="N656" s="21">
        <f t="shared" si="980"/>
        <v>0</v>
      </c>
      <c r="O656" s="21">
        <f t="shared" si="980"/>
        <v>0</v>
      </c>
      <c r="P656" s="21">
        <f t="shared" si="980"/>
        <v>0</v>
      </c>
      <c r="Q656" s="21">
        <f t="shared" si="980"/>
        <v>0</v>
      </c>
      <c r="R656" s="21">
        <f t="shared" si="980"/>
        <v>0</v>
      </c>
      <c r="S656" s="21">
        <f t="shared" si="980"/>
        <v>0</v>
      </c>
      <c r="T656" s="21">
        <f t="shared" si="980"/>
        <v>0</v>
      </c>
    </row>
    <row r="657" spans="2:20" outlineLevel="1" x14ac:dyDescent="0.2">
      <c r="C657" s="1" t="s">
        <v>14</v>
      </c>
      <c r="D657" s="43" t="s">
        <v>295</v>
      </c>
      <c r="H657" s="70">
        <f>Inputs!H32</f>
        <v>38</v>
      </c>
      <c r="I657" s="70">
        <f>Inputs!I32</f>
        <v>39</v>
      </c>
      <c r="J657" s="13">
        <f t="shared" ref="J657:T657" si="981">J362*J$604</f>
        <v>30.976167738340582</v>
      </c>
      <c r="K657" s="13">
        <f t="shared" si="981"/>
        <v>33.652297277944925</v>
      </c>
      <c r="L657" s="13">
        <f t="shared" si="981"/>
        <v>36.253568770385343</v>
      </c>
      <c r="M657" s="13">
        <f t="shared" si="981"/>
        <v>38.724674993416556</v>
      </c>
      <c r="N657" s="13">
        <f t="shared" si="981"/>
        <v>40.662469812369132</v>
      </c>
      <c r="O657" s="13">
        <f t="shared" si="981"/>
        <v>28.460160144025281</v>
      </c>
      <c r="P657" s="13">
        <f t="shared" si="981"/>
        <v>29.874369625149654</v>
      </c>
      <c r="Q657" s="13">
        <f t="shared" si="981"/>
        <v>31.353411147040312</v>
      </c>
      <c r="R657" s="13">
        <f t="shared" si="981"/>
        <v>32.885775372980326</v>
      </c>
      <c r="S657" s="13">
        <f t="shared" si="981"/>
        <v>34.472557375445007</v>
      </c>
      <c r="T657" s="13">
        <f t="shared" si="981"/>
        <v>36.129706371553524</v>
      </c>
    </row>
    <row r="658" spans="2:20" outlineLevel="1" x14ac:dyDescent="0.2">
      <c r="H658" s="13"/>
      <c r="I658" s="13"/>
    </row>
    <row r="659" spans="2:20" outlineLevel="1" x14ac:dyDescent="0.2">
      <c r="C659" s="2" t="s">
        <v>15</v>
      </c>
      <c r="D659" s="43" t="s">
        <v>295</v>
      </c>
      <c r="H659" s="96">
        <f>Inputs!H33</f>
        <v>346</v>
      </c>
      <c r="I659" s="96">
        <f>Inputs!I33</f>
        <v>347</v>
      </c>
      <c r="J659" s="17">
        <f>J650+SUM(J654:J657)</f>
        <v>364.94125751318148</v>
      </c>
      <c r="K659" s="17">
        <f>K650+SUM(K654:K657)</f>
        <v>420.35064990156042</v>
      </c>
      <c r="L659" s="17">
        <f t="shared" ref="L659:O659" si="982">L650+SUM(L654:L657)</f>
        <v>441.17035659649912</v>
      </c>
      <c r="M659" s="17">
        <f t="shared" si="982"/>
        <v>470.34853531483742</v>
      </c>
      <c r="N659" s="17">
        <f t="shared" si="982"/>
        <v>501.45867951558353</v>
      </c>
      <c r="O659" s="17">
        <f t="shared" si="982"/>
        <v>525.24339273411738</v>
      </c>
      <c r="P659" s="17">
        <f t="shared" ref="P659:T659" si="983">P650+SUM(P654:P657)</f>
        <v>574.18410955605805</v>
      </c>
      <c r="Q659" s="17">
        <f t="shared" si="983"/>
        <v>629.99384055093935</v>
      </c>
      <c r="R659" s="17">
        <f t="shared" si="983"/>
        <v>693.58124444198506</v>
      </c>
      <c r="S659" s="17">
        <f t="shared" si="983"/>
        <v>748.57057345193061</v>
      </c>
      <c r="T659" s="17">
        <f t="shared" si="983"/>
        <v>824.0562525311575</v>
      </c>
    </row>
    <row r="660" spans="2:20" outlineLevel="1" x14ac:dyDescent="0.2">
      <c r="C660" s="1" t="s">
        <v>16</v>
      </c>
      <c r="D660" s="43" t="s">
        <v>295</v>
      </c>
      <c r="H660" s="97">
        <f>Inputs!H34</f>
        <v>-65</v>
      </c>
      <c r="I660" s="97">
        <f>Inputs!I34</f>
        <v>-64</v>
      </c>
      <c r="J660" s="13">
        <f t="shared" ref="J660:T660" si="984">-J364*J659</f>
        <v>-67.309050377070932</v>
      </c>
      <c r="K660" s="13">
        <f t="shared" si="984"/>
        <v>-77.52865012593621</v>
      </c>
      <c r="L660" s="13">
        <f t="shared" si="984"/>
        <v>-81.368596029325474</v>
      </c>
      <c r="M660" s="13">
        <f t="shared" si="984"/>
        <v>-86.750162132995939</v>
      </c>
      <c r="N660" s="13">
        <f t="shared" si="984"/>
        <v>-92.488056164257472</v>
      </c>
      <c r="O660" s="13">
        <f t="shared" si="984"/>
        <v>-96.874862060471216</v>
      </c>
      <c r="P660" s="13">
        <f t="shared" si="984"/>
        <v>-105.90139196422972</v>
      </c>
      <c r="Q660" s="13">
        <f t="shared" si="984"/>
        <v>-116.19482938115307</v>
      </c>
      <c r="R660" s="13">
        <f t="shared" si="984"/>
        <v>-127.92276554549579</v>
      </c>
      <c r="S660" s="13">
        <f t="shared" si="984"/>
        <v>-138.06488962802177</v>
      </c>
      <c r="T660" s="13">
        <f t="shared" si="984"/>
        <v>-151.98732035156794</v>
      </c>
    </row>
    <row r="661" spans="2:20" ht="13.5" outlineLevel="1" thickBot="1" x14ac:dyDescent="0.25">
      <c r="C661" s="5" t="s">
        <v>17</v>
      </c>
      <c r="D661" s="54" t="s">
        <v>295</v>
      </c>
      <c r="E661" s="90"/>
      <c r="F661" s="90"/>
      <c r="G661" s="90"/>
      <c r="H661" s="25">
        <f>SUM(H659:H660)</f>
        <v>281</v>
      </c>
      <c r="I661" s="25">
        <f>SUM(I659:I660)</f>
        <v>283</v>
      </c>
      <c r="J661" s="25">
        <f>SUM(J659:J660)</f>
        <v>297.63220713611054</v>
      </c>
      <c r="K661" s="25">
        <f t="shared" ref="K661:O661" si="985">SUM(K659:K660)</f>
        <v>342.82199977562419</v>
      </c>
      <c r="L661" s="25">
        <f t="shared" si="985"/>
        <v>359.80176056717363</v>
      </c>
      <c r="M661" s="25">
        <f t="shared" si="985"/>
        <v>383.59837318184145</v>
      </c>
      <c r="N661" s="25">
        <f t="shared" si="985"/>
        <v>408.97062335132603</v>
      </c>
      <c r="O661" s="25">
        <f t="shared" si="985"/>
        <v>428.36853067364615</v>
      </c>
      <c r="P661" s="25">
        <f t="shared" ref="P661:T661" si="986">SUM(P659:P660)</f>
        <v>468.28271759182832</v>
      </c>
      <c r="Q661" s="25">
        <f t="shared" si="986"/>
        <v>513.79901116978624</v>
      </c>
      <c r="R661" s="25">
        <f t="shared" si="986"/>
        <v>565.65847889648921</v>
      </c>
      <c r="S661" s="25">
        <f t="shared" si="986"/>
        <v>610.50568382390884</v>
      </c>
      <c r="T661" s="25">
        <f t="shared" si="986"/>
        <v>672.06893217958952</v>
      </c>
    </row>
    <row r="662" spans="2:20" ht="13.5" outlineLevel="1" thickTop="1" x14ac:dyDescent="0.2">
      <c r="C662" s="58" t="s">
        <v>148</v>
      </c>
      <c r="E662" s="93"/>
      <c r="F662" s="93"/>
      <c r="G662" s="93"/>
      <c r="H662" s="94"/>
      <c r="I662" s="95">
        <f>IFERROR(I661/H661-1,"")</f>
        <v>7.1174377224199059E-3</v>
      </c>
      <c r="J662" s="95">
        <f t="shared" ref="J662:O662" si="987">IFERROR(J661/I661-1,"")</f>
        <v>5.170391214173331E-2</v>
      </c>
      <c r="K662" s="95">
        <f t="shared" si="987"/>
        <v>0.15183098991315758</v>
      </c>
      <c r="L662" s="95">
        <f t="shared" si="987"/>
        <v>4.952937910245736E-2</v>
      </c>
      <c r="M662" s="95">
        <f t="shared" si="987"/>
        <v>6.6138121662206562E-2</v>
      </c>
      <c r="N662" s="95">
        <f t="shared" si="987"/>
        <v>6.6142747058671958E-2</v>
      </c>
      <c r="O662" s="95">
        <f t="shared" si="987"/>
        <v>4.7431053026164127E-2</v>
      </c>
      <c r="P662" s="95">
        <f t="shared" ref="P662" si="988">IFERROR(P661/O661-1,"")</f>
        <v>9.3177215551790704E-2</v>
      </c>
      <c r="Q662" s="95">
        <f t="shared" ref="Q662" si="989">IFERROR(Q661/P661-1,"")</f>
        <v>9.7198320305366348E-2</v>
      </c>
      <c r="R662" s="95">
        <f t="shared" ref="R662" si="990">IFERROR(R661/Q661-1,"")</f>
        <v>0.10093337394447777</v>
      </c>
      <c r="S662" s="95">
        <f t="shared" ref="S662" si="991">IFERROR(S661/R661-1,"")</f>
        <v>7.9283183405841395E-2</v>
      </c>
      <c r="T662" s="95">
        <f t="shared" ref="T662" si="992">IFERROR(T661/S661-1,"")</f>
        <v>0.10083976281773266</v>
      </c>
    </row>
    <row r="663" spans="2:20" outlineLevel="1" x14ac:dyDescent="0.2">
      <c r="C663" s="58" t="s">
        <v>276</v>
      </c>
      <c r="E663" s="93"/>
      <c r="F663" s="93"/>
      <c r="G663" s="93"/>
      <c r="H663" s="95">
        <f t="shared" ref="H663:O663" si="993">IFERROR(H661/H$604,"")</f>
        <v>0.307103825136612</v>
      </c>
      <c r="I663" s="95">
        <f t="shared" si="993"/>
        <v>0.30794341675734493</v>
      </c>
      <c r="J663" s="95">
        <f t="shared" si="993"/>
        <v>0.28825277192154203</v>
      </c>
      <c r="K663" s="95">
        <f t="shared" si="993"/>
        <v>0.30561539107789515</v>
      </c>
      <c r="L663" s="95">
        <f t="shared" si="993"/>
        <v>0.29773766233553833</v>
      </c>
      <c r="M663" s="95">
        <f t="shared" si="993"/>
        <v>0.29717360306862922</v>
      </c>
      <c r="N663" s="95">
        <f t="shared" si="993"/>
        <v>0.30173077919648728</v>
      </c>
      <c r="O663" s="95">
        <f t="shared" si="993"/>
        <v>0.30103030236361811</v>
      </c>
      <c r="P663" s="95">
        <f t="shared" ref="P663:T663" si="994">IFERROR(P661/P$604,"")</f>
        <v>0.31350132134510772</v>
      </c>
      <c r="Q663" s="95">
        <f t="shared" si="994"/>
        <v>0.32774680162243697</v>
      </c>
      <c r="R663" s="95">
        <f t="shared" si="994"/>
        <v>0.34401407446287341</v>
      </c>
      <c r="S663" s="95">
        <f t="shared" si="994"/>
        <v>0.35419808120112112</v>
      </c>
      <c r="T663" s="95">
        <f t="shared" si="994"/>
        <v>0.37203121734127265</v>
      </c>
    </row>
    <row r="664" spans="2:20" outlineLevel="1" x14ac:dyDescent="0.2"/>
    <row r="665" spans="2:20" outlineLevel="1" x14ac:dyDescent="0.2">
      <c r="B665" s="2" t="s">
        <v>412</v>
      </c>
    </row>
    <row r="666" spans="2:20" outlineLevel="1" x14ac:dyDescent="0.2">
      <c r="C666" s="1" t="s">
        <v>413</v>
      </c>
      <c r="D666" s="43" t="s">
        <v>109</v>
      </c>
      <c r="H666" s="234">
        <f t="shared" ref="H666:T666" si="995">H661/H522</f>
        <v>1.2857230249704341</v>
      </c>
      <c r="I666" s="234">
        <f t="shared" si="995"/>
        <v>1.2948740785289425</v>
      </c>
      <c r="J666" s="234">
        <f t="shared" si="995"/>
        <v>1.2892127923392669</v>
      </c>
      <c r="K666" s="234">
        <f t="shared" si="995"/>
        <v>1.4849552468088438</v>
      </c>
      <c r="L666" s="234">
        <f t="shared" si="995"/>
        <v>1.5585041581782222</v>
      </c>
      <c r="M666" s="234">
        <f t="shared" si="995"/>
        <v>1.6615806958028683</v>
      </c>
      <c r="N666" s="234">
        <f t="shared" si="995"/>
        <v>1.7714822074829295</v>
      </c>
      <c r="O666" s="234">
        <f t="shared" si="995"/>
        <v>1.8555054740009584</v>
      </c>
      <c r="P666" s="234">
        <f t="shared" si="995"/>
        <v>2.0283963075094733</v>
      </c>
      <c r="Q666" s="234">
        <f t="shared" si="995"/>
        <v>2.2255530215130013</v>
      </c>
      <c r="R666" s="234">
        <f t="shared" si="995"/>
        <v>2.4501855968666355</v>
      </c>
      <c r="S666" s="234">
        <f t="shared" si="995"/>
        <v>2.6444441109213641</v>
      </c>
      <c r="T666" s="234">
        <f t="shared" si="995"/>
        <v>2.9111092278514246</v>
      </c>
    </row>
    <row r="667" spans="2:20" outlineLevel="1" x14ac:dyDescent="0.2">
      <c r="C667" s="1" t="s">
        <v>414</v>
      </c>
      <c r="D667" s="43" t="s">
        <v>109</v>
      </c>
      <c r="H667" s="234">
        <f t="shared" ref="H667:T667" si="996">H527/H522</f>
        <v>0</v>
      </c>
      <c r="I667" s="234">
        <f t="shared" si="996"/>
        <v>0</v>
      </c>
      <c r="J667" s="234">
        <f t="shared" si="996"/>
        <v>0</v>
      </c>
      <c r="K667" s="234">
        <f t="shared" si="996"/>
        <v>0</v>
      </c>
      <c r="L667" s="234">
        <f t="shared" si="996"/>
        <v>0</v>
      </c>
      <c r="M667" s="234">
        <f t="shared" si="996"/>
        <v>0</v>
      </c>
      <c r="N667" s="234">
        <f t="shared" si="996"/>
        <v>0</v>
      </c>
      <c r="O667" s="234">
        <f t="shared" si="996"/>
        <v>0</v>
      </c>
      <c r="P667" s="234">
        <f t="shared" si="996"/>
        <v>0</v>
      </c>
      <c r="Q667" s="234">
        <f t="shared" si="996"/>
        <v>0</v>
      </c>
      <c r="R667" s="234">
        <f t="shared" si="996"/>
        <v>0</v>
      </c>
      <c r="S667" s="234">
        <f t="shared" si="996"/>
        <v>0</v>
      </c>
      <c r="T667" s="234">
        <f t="shared" si="996"/>
        <v>0</v>
      </c>
    </row>
    <row r="668" spans="2:20" outlineLevel="1" x14ac:dyDescent="0.2">
      <c r="C668" s="1" t="s">
        <v>299</v>
      </c>
      <c r="D668" s="43" t="s">
        <v>109</v>
      </c>
      <c r="H668" s="52"/>
      <c r="I668" s="52">
        <f>IFERROR(I667/I666,"")</f>
        <v>0</v>
      </c>
      <c r="J668" s="52">
        <f t="shared" ref="J668:T668" si="997">IFERROR(J667/J666,"")</f>
        <v>0</v>
      </c>
      <c r="K668" s="52">
        <f t="shared" si="997"/>
        <v>0</v>
      </c>
      <c r="L668" s="52">
        <f t="shared" si="997"/>
        <v>0</v>
      </c>
      <c r="M668" s="52">
        <f t="shared" si="997"/>
        <v>0</v>
      </c>
      <c r="N668" s="52">
        <f t="shared" si="997"/>
        <v>0</v>
      </c>
      <c r="O668" s="52">
        <f t="shared" si="997"/>
        <v>0</v>
      </c>
      <c r="P668" s="52">
        <f t="shared" si="997"/>
        <v>0</v>
      </c>
      <c r="Q668" s="52">
        <f t="shared" si="997"/>
        <v>0</v>
      </c>
      <c r="R668" s="52">
        <f t="shared" si="997"/>
        <v>0</v>
      </c>
      <c r="S668" s="52">
        <f t="shared" si="997"/>
        <v>0</v>
      </c>
      <c r="T668" s="52">
        <f t="shared" si="997"/>
        <v>0</v>
      </c>
    </row>
    <row r="669" spans="2:20" outlineLevel="1" x14ac:dyDescent="0.2">
      <c r="C669" s="1" t="s">
        <v>415</v>
      </c>
      <c r="D669" s="43" t="s">
        <v>109</v>
      </c>
      <c r="I669" s="21">
        <f t="shared" ref="I669:T669" si="998">I808/I522</f>
        <v>0.66345138299186102</v>
      </c>
      <c r="J669" s="21">
        <f t="shared" si="998"/>
        <v>0.7652133212710357</v>
      </c>
      <c r="K669" s="21">
        <f t="shared" si="998"/>
        <v>0.88614352087018644</v>
      </c>
      <c r="L669" s="21">
        <f t="shared" si="998"/>
        <v>0.97445024428804961</v>
      </c>
      <c r="M669" s="21">
        <f t="shared" si="998"/>
        <v>1.080657259917517</v>
      </c>
      <c r="N669" s="21">
        <f t="shared" si="998"/>
        <v>1.1922238692988953</v>
      </c>
      <c r="O669" s="21">
        <f t="shared" si="998"/>
        <v>1.3627293980060693</v>
      </c>
      <c r="P669" s="21">
        <f t="shared" si="998"/>
        <v>1.5523072871619434</v>
      </c>
      <c r="Q669" s="21">
        <f t="shared" si="998"/>
        <v>1.7789958127103687</v>
      </c>
      <c r="R669" s="21">
        <f t="shared" si="998"/>
        <v>2.0297336773220787</v>
      </c>
      <c r="S669" s="21">
        <f t="shared" si="998"/>
        <v>2.2699679786924545</v>
      </c>
      <c r="T669" s="21">
        <f t="shared" si="998"/>
        <v>2.5213210063462128</v>
      </c>
    </row>
    <row r="670" spans="2:20" outlineLevel="1" x14ac:dyDescent="0.2"/>
    <row r="671" spans="2:20" outlineLevel="1" x14ac:dyDescent="0.2">
      <c r="B671" s="2" t="s">
        <v>110</v>
      </c>
    </row>
    <row r="672" spans="2:20" outlineLevel="1" x14ac:dyDescent="0.2"/>
    <row r="673" spans="1:22" outlineLevel="1" x14ac:dyDescent="0.2">
      <c r="B673" s="2"/>
      <c r="C673" s="2" t="s">
        <v>10</v>
      </c>
      <c r="H673" s="13">
        <f t="shared" ref="H673:T673" si="999">H650</f>
        <v>363</v>
      </c>
      <c r="I673" s="13">
        <f t="shared" si="999"/>
        <v>348</v>
      </c>
      <c r="J673" s="13">
        <f t="shared" si="999"/>
        <v>352.16453953247225</v>
      </c>
      <c r="K673" s="13">
        <f t="shared" si="999"/>
        <v>355.09461072163157</v>
      </c>
      <c r="L673" s="13">
        <f t="shared" si="999"/>
        <v>353.52728266222954</v>
      </c>
      <c r="M673" s="13">
        <f t="shared" si="999"/>
        <v>358.234746317614</v>
      </c>
      <c r="N673" s="13">
        <f t="shared" si="999"/>
        <v>362.57817292306453</v>
      </c>
      <c r="O673" s="13">
        <f t="shared" si="999"/>
        <v>370.66827197059314</v>
      </c>
      <c r="P673" s="13">
        <f t="shared" si="999"/>
        <v>386.0681425821823</v>
      </c>
      <c r="Q673" s="13">
        <f t="shared" si="999"/>
        <v>403.58113477206803</v>
      </c>
      <c r="R673" s="13">
        <f t="shared" si="999"/>
        <v>423.27103874643996</v>
      </c>
      <c r="S673" s="13">
        <f t="shared" si="999"/>
        <v>428.18177338305094</v>
      </c>
      <c r="T673" s="13">
        <f t="shared" si="999"/>
        <v>448.0791244822023</v>
      </c>
    </row>
    <row r="674" spans="1:22" outlineLevel="1" x14ac:dyDescent="0.2">
      <c r="C674" s="36" t="s">
        <v>113</v>
      </c>
      <c r="H674" s="13">
        <f t="shared" ref="H674:T674" si="1000">-H643</f>
        <v>127</v>
      </c>
      <c r="I674" s="13">
        <f t="shared" si="1000"/>
        <v>118</v>
      </c>
      <c r="J674" s="13">
        <f t="shared" si="1000"/>
        <v>141.42951409365418</v>
      </c>
      <c r="K674" s="13">
        <f t="shared" si="1000"/>
        <v>164.31645266522858</v>
      </c>
      <c r="L674" s="13">
        <f t="shared" si="1000"/>
        <v>187.90668302760071</v>
      </c>
      <c r="M674" s="13">
        <f t="shared" si="1000"/>
        <v>207.19607399431126</v>
      </c>
      <c r="N674" s="13">
        <f t="shared" si="1000"/>
        <v>223.0144880918896</v>
      </c>
      <c r="O674" s="13">
        <f t="shared" si="1000"/>
        <v>238.43489862434353</v>
      </c>
      <c r="P674" s="13">
        <f t="shared" si="1000"/>
        <v>253.30188085121625</v>
      </c>
      <c r="Q674" s="13">
        <f t="shared" si="1000"/>
        <v>267.44327415551356</v>
      </c>
      <c r="R674" s="13">
        <f t="shared" si="1000"/>
        <v>280.54896598253293</v>
      </c>
      <c r="S674" s="13">
        <f t="shared" si="1000"/>
        <v>309.5984741503575</v>
      </c>
      <c r="T674" s="13">
        <f t="shared" si="1000"/>
        <v>325.16735734398168</v>
      </c>
    </row>
    <row r="675" spans="1:22" outlineLevel="1" x14ac:dyDescent="0.2">
      <c r="C675" s="36" t="s">
        <v>114</v>
      </c>
      <c r="H675" s="13">
        <f t="shared" ref="H675:T675" si="1001">-H644</f>
        <v>49</v>
      </c>
      <c r="I675" s="13">
        <f t="shared" si="1001"/>
        <v>45</v>
      </c>
      <c r="J675" s="13">
        <f t="shared" si="1001"/>
        <v>49.561868381344937</v>
      </c>
      <c r="K675" s="13">
        <f t="shared" si="1001"/>
        <v>53.84367564471188</v>
      </c>
      <c r="L675" s="13">
        <f t="shared" si="1001"/>
        <v>58.005710032616548</v>
      </c>
      <c r="M675" s="13">
        <f t="shared" si="1001"/>
        <v>61.959479989466494</v>
      </c>
      <c r="N675" s="13">
        <f t="shared" si="1001"/>
        <v>65.059951699790616</v>
      </c>
      <c r="O675" s="13">
        <f t="shared" si="1001"/>
        <v>68.304384345660679</v>
      </c>
      <c r="P675" s="13">
        <f t="shared" si="1001"/>
        <v>71.698487100359159</v>
      </c>
      <c r="Q675" s="13">
        <f t="shared" si="1001"/>
        <v>75.248186752896743</v>
      </c>
      <c r="R675" s="13">
        <f t="shared" si="1001"/>
        <v>78.925860895152795</v>
      </c>
      <c r="S675" s="13">
        <f t="shared" si="1001"/>
        <v>82.734137701068022</v>
      </c>
      <c r="T675" s="13">
        <f t="shared" si="1001"/>
        <v>86.711295291728447</v>
      </c>
    </row>
    <row r="676" spans="1:22" outlineLevel="1" x14ac:dyDescent="0.2">
      <c r="C676" s="36" t="s">
        <v>115</v>
      </c>
      <c r="H676" s="13">
        <f t="shared" ref="H676:T676" si="1002">-H648</f>
        <v>1</v>
      </c>
      <c r="I676" s="13">
        <f t="shared" si="1002"/>
        <v>3</v>
      </c>
      <c r="J676" s="13">
        <f t="shared" si="1002"/>
        <v>3.3706384916583878</v>
      </c>
      <c r="K676" s="13">
        <f t="shared" si="1002"/>
        <v>3.6618386591887844</v>
      </c>
      <c r="L676" s="13">
        <f t="shared" si="1002"/>
        <v>3.9448932285511802</v>
      </c>
      <c r="M676" s="13">
        <f t="shared" si="1002"/>
        <v>4.2137840036361869</v>
      </c>
      <c r="N676" s="13">
        <f t="shared" si="1002"/>
        <v>4.4246430698987087</v>
      </c>
      <c r="O676" s="13">
        <f t="shared" si="1002"/>
        <v>4.6452927329747471</v>
      </c>
      <c r="P676" s="13">
        <f t="shared" si="1002"/>
        <v>4.8761212663465159</v>
      </c>
      <c r="Q676" s="13">
        <f t="shared" si="1002"/>
        <v>5.1175317432601162</v>
      </c>
      <c r="R676" s="13">
        <f t="shared" si="1002"/>
        <v>5.3676455995071271</v>
      </c>
      <c r="S676" s="13">
        <f t="shared" si="1002"/>
        <v>5.6266415737940711</v>
      </c>
      <c r="T676" s="13">
        <f t="shared" si="1002"/>
        <v>5.8971229115702153</v>
      </c>
    </row>
    <row r="677" spans="1:22" outlineLevel="1" x14ac:dyDescent="0.2">
      <c r="C677" s="1" t="s">
        <v>9</v>
      </c>
      <c r="H677" s="13">
        <f t="shared" ref="H677:T677" si="1003">-H649</f>
        <v>-2</v>
      </c>
      <c r="I677" s="13">
        <f t="shared" si="1003"/>
        <v>1</v>
      </c>
      <c r="J677" s="13">
        <f t="shared" si="1003"/>
        <v>1.1235461638861293</v>
      </c>
      <c r="K677" s="13">
        <f t="shared" si="1003"/>
        <v>1.2206128863962613</v>
      </c>
      <c r="L677" s="13">
        <f t="shared" si="1003"/>
        <v>1.3149644095170601</v>
      </c>
      <c r="M677" s="13">
        <f t="shared" si="1003"/>
        <v>1.4045946678787289</v>
      </c>
      <c r="N677" s="13">
        <f t="shared" si="1003"/>
        <v>1.4748810232995697</v>
      </c>
      <c r="O677" s="13">
        <f t="shared" si="1003"/>
        <v>1.5484309109915821</v>
      </c>
      <c r="P677" s="13">
        <f t="shared" si="1003"/>
        <v>1.6253737554488386</v>
      </c>
      <c r="Q677" s="13">
        <f t="shared" si="1003"/>
        <v>1.7058439144200388</v>
      </c>
      <c r="R677" s="13">
        <f t="shared" si="1003"/>
        <v>1.7892151998357089</v>
      </c>
      <c r="S677" s="13">
        <f t="shared" si="1003"/>
        <v>1.8755471912646904</v>
      </c>
      <c r="T677" s="13">
        <f t="shared" si="1003"/>
        <v>1.9657076371900719</v>
      </c>
    </row>
    <row r="678" spans="1:22" outlineLevel="1" x14ac:dyDescent="0.2">
      <c r="B678" s="2"/>
      <c r="C678" s="4" t="s">
        <v>112</v>
      </c>
      <c r="D678" s="47"/>
      <c r="E678" s="48"/>
      <c r="F678" s="48"/>
      <c r="G678" s="48"/>
      <c r="H678" s="23">
        <f>SUM(H673:H677)</f>
        <v>538</v>
      </c>
      <c r="I678" s="23">
        <f t="shared" ref="I678:O678" si="1004">SUM(I673:I677)</f>
        <v>515</v>
      </c>
      <c r="J678" s="23">
        <f t="shared" si="1004"/>
        <v>547.65010666301589</v>
      </c>
      <c r="K678" s="23">
        <f t="shared" si="1004"/>
        <v>578.13719057715707</v>
      </c>
      <c r="L678" s="23">
        <f t="shared" si="1004"/>
        <v>604.69953336051515</v>
      </c>
      <c r="M678" s="23">
        <f t="shared" si="1004"/>
        <v>633.00867897290664</v>
      </c>
      <c r="N678" s="23">
        <f t="shared" si="1004"/>
        <v>656.55213680794304</v>
      </c>
      <c r="O678" s="23">
        <f t="shared" si="1004"/>
        <v>683.60127858456372</v>
      </c>
      <c r="P678" s="23">
        <f t="shared" ref="P678:T678" si="1005">SUM(P673:P677)</f>
        <v>717.57000555555317</v>
      </c>
      <c r="Q678" s="23">
        <f t="shared" si="1005"/>
        <v>753.09597133815851</v>
      </c>
      <c r="R678" s="23">
        <f t="shared" si="1005"/>
        <v>789.90272642346849</v>
      </c>
      <c r="S678" s="23">
        <f t="shared" si="1005"/>
        <v>828.01657399953513</v>
      </c>
      <c r="T678" s="23">
        <f t="shared" si="1005"/>
        <v>867.8206076666728</v>
      </c>
    </row>
    <row r="680" spans="1:22" x14ac:dyDescent="0.2">
      <c r="A680" s="1" t="s">
        <v>22</v>
      </c>
      <c r="B680" s="34" t="s">
        <v>128</v>
      </c>
      <c r="C680" s="78"/>
      <c r="D680" s="79"/>
      <c r="E680" s="91"/>
      <c r="F680" s="91"/>
      <c r="G680" s="91"/>
      <c r="H680" s="91"/>
      <c r="I680" s="91"/>
      <c r="J680" s="91"/>
      <c r="K680" s="91"/>
      <c r="L680" s="91"/>
      <c r="M680" s="91"/>
      <c r="N680" s="91"/>
      <c r="O680" s="91"/>
      <c r="P680" s="91"/>
      <c r="Q680" s="91"/>
      <c r="R680" s="91"/>
      <c r="S680" s="91"/>
      <c r="T680" s="91"/>
    </row>
    <row r="681" spans="1:22" outlineLevel="1" x14ac:dyDescent="0.2"/>
    <row r="682" spans="1:22" s="17" customFormat="1" outlineLevel="1" x14ac:dyDescent="0.2">
      <c r="A682" s="10"/>
      <c r="B682" s="2"/>
      <c r="C682" s="2" t="s">
        <v>41</v>
      </c>
      <c r="D682" s="10"/>
    </row>
    <row r="683" spans="1:22" s="17" customFormat="1" outlineLevel="1" x14ac:dyDescent="0.2">
      <c r="A683" s="10"/>
      <c r="B683" s="2"/>
      <c r="C683" s="2" t="s">
        <v>42</v>
      </c>
      <c r="D683" s="10"/>
    </row>
    <row r="684" spans="1:22" s="13" customFormat="1" outlineLevel="1" x14ac:dyDescent="0.2">
      <c r="A684" s="8"/>
      <c r="B684" s="1"/>
      <c r="C684" s="1" t="s">
        <v>43</v>
      </c>
      <c r="D684" s="8"/>
      <c r="H684" s="12">
        <v>597</v>
      </c>
      <c r="I684" s="12">
        <v>624</v>
      </c>
      <c r="J684" s="13">
        <f t="shared" ref="J684:T684" si="1006">J426</f>
        <v>740.70521705918395</v>
      </c>
      <c r="K684" s="13">
        <f t="shared" si="1006"/>
        <v>851.21585883050557</v>
      </c>
      <c r="L684" s="13">
        <f t="shared" si="1006"/>
        <v>953.33772596598772</v>
      </c>
      <c r="M684" s="13">
        <f t="shared" si="1006"/>
        <v>1043.0308269212035</v>
      </c>
      <c r="N684" s="13">
        <f t="shared" si="1006"/>
        <v>1118.2077841200207</v>
      </c>
      <c r="O684" s="13">
        <f t="shared" si="1006"/>
        <v>1178.6045670079427</v>
      </c>
      <c r="P684" s="13">
        <f t="shared" si="1006"/>
        <v>1224.0463824082228</v>
      </c>
      <c r="Q684" s="13">
        <f t="shared" si="1006"/>
        <v>1254.4605141495922</v>
      </c>
      <c r="R684" s="13">
        <f t="shared" si="1006"/>
        <v>1269.8835265238822</v>
      </c>
      <c r="S684" s="13">
        <f t="shared" si="1006"/>
        <v>1270.5380687525296</v>
      </c>
      <c r="T684" s="13">
        <f t="shared" si="1006"/>
        <v>1270.5380687525296</v>
      </c>
    </row>
    <row r="685" spans="1:22" s="13" customFormat="1" outlineLevel="1" x14ac:dyDescent="0.2">
      <c r="A685" s="8"/>
      <c r="B685" s="1"/>
      <c r="C685" s="1" t="s">
        <v>44</v>
      </c>
      <c r="D685" s="8"/>
      <c r="H685" s="12">
        <v>272</v>
      </c>
      <c r="I685" s="12">
        <v>297</v>
      </c>
      <c r="J685" s="13">
        <f t="shared" ref="J685:T685" si="1007">J434</f>
        <v>309.39046709533625</v>
      </c>
      <c r="K685" s="13">
        <f t="shared" si="1007"/>
        <v>322.85138600651419</v>
      </c>
      <c r="L685" s="13">
        <f t="shared" si="1007"/>
        <v>337.35281351466836</v>
      </c>
      <c r="M685" s="13">
        <f t="shared" si="1007"/>
        <v>352.84268351203497</v>
      </c>
      <c r="N685" s="13">
        <f t="shared" si="1007"/>
        <v>369.10767143698263</v>
      </c>
      <c r="O685" s="13">
        <f t="shared" si="1007"/>
        <v>386.18376752339782</v>
      </c>
      <c r="P685" s="13">
        <f t="shared" si="1007"/>
        <v>404.10838929848762</v>
      </c>
      <c r="Q685" s="13">
        <f t="shared" si="1007"/>
        <v>422.92043598671182</v>
      </c>
      <c r="R685" s="13">
        <f t="shared" si="1007"/>
        <v>442.6519012105</v>
      </c>
      <c r="S685" s="13">
        <f t="shared" si="1007"/>
        <v>463.335435635767</v>
      </c>
      <c r="T685" s="13">
        <f t="shared" si="1007"/>
        <v>485.01325945869917</v>
      </c>
    </row>
    <row r="686" spans="1:22" s="13" customFormat="1" outlineLevel="1" x14ac:dyDescent="0.2">
      <c r="A686" s="8"/>
      <c r="B686" s="1"/>
      <c r="C686" s="1" t="s">
        <v>45</v>
      </c>
      <c r="D686" s="8"/>
      <c r="H686" s="12">
        <v>343</v>
      </c>
      <c r="I686" s="12">
        <v>0</v>
      </c>
      <c r="J686" s="88">
        <v>0</v>
      </c>
      <c r="K686" s="88">
        <v>0</v>
      </c>
      <c r="L686" s="88">
        <v>0</v>
      </c>
      <c r="M686" s="88">
        <v>0</v>
      </c>
      <c r="N686" s="88">
        <v>0</v>
      </c>
      <c r="O686" s="88">
        <v>0</v>
      </c>
      <c r="P686" s="88">
        <v>0</v>
      </c>
      <c r="Q686" s="88">
        <v>0</v>
      </c>
      <c r="R686" s="88">
        <v>0</v>
      </c>
      <c r="S686" s="88">
        <v>0</v>
      </c>
      <c r="T686" s="88">
        <v>0</v>
      </c>
    </row>
    <row r="687" spans="1:22" s="13" customFormat="1" outlineLevel="1" x14ac:dyDescent="0.2">
      <c r="A687" s="8"/>
      <c r="B687" s="1"/>
      <c r="C687" s="1" t="s">
        <v>245</v>
      </c>
      <c r="D687" s="8"/>
      <c r="H687" s="12">
        <v>67</v>
      </c>
      <c r="I687" s="12">
        <v>80</v>
      </c>
      <c r="J687" s="13">
        <f t="shared" ref="J687:S687" si="1008">I687-J773-J754-J755-J757</f>
        <v>247.48198308279609</v>
      </c>
      <c r="K687" s="13">
        <f t="shared" si="1008"/>
        <v>276.25182881515599</v>
      </c>
      <c r="L687" s="13">
        <f t="shared" si="1008"/>
        <v>307.24553994747311</v>
      </c>
      <c r="M687" s="13">
        <f t="shared" si="1008"/>
        <v>340.35183626937476</v>
      </c>
      <c r="N687" s="13">
        <f t="shared" si="1008"/>
        <v>375.11478198854559</v>
      </c>
      <c r="O687" s="13">
        <f t="shared" si="1008"/>
        <v>397.38121848860459</v>
      </c>
      <c r="P687" s="13">
        <f t="shared" si="1008"/>
        <v>420.75409309195891</v>
      </c>
      <c r="Q687" s="13">
        <f t="shared" si="1008"/>
        <v>445.28412858131912</v>
      </c>
      <c r="R687" s="13">
        <f t="shared" si="1008"/>
        <v>471.01304315495662</v>
      </c>
      <c r="S687" s="13">
        <f t="shared" si="1008"/>
        <v>497.98341176534291</v>
      </c>
      <c r="T687" s="13">
        <f>S687-T773-T754-T755-T757</f>
        <v>526.25028758813619</v>
      </c>
      <c r="V687" s="13" t="s">
        <v>600</v>
      </c>
    </row>
    <row r="688" spans="1:22" s="17" customFormat="1" outlineLevel="1" x14ac:dyDescent="0.2">
      <c r="A688" s="10"/>
      <c r="B688" s="4"/>
      <c r="C688" s="4" t="s">
        <v>47</v>
      </c>
      <c r="D688" s="27"/>
      <c r="E688" s="23"/>
      <c r="F688" s="23"/>
      <c r="G688" s="23"/>
      <c r="H688" s="16">
        <v>1279</v>
      </c>
      <c r="I688" s="16">
        <v>1001</v>
      </c>
      <c r="J688" s="23">
        <f>SUM(J684:J687)</f>
        <v>1297.5776672373163</v>
      </c>
      <c r="K688" s="23">
        <f t="shared" ref="K688:O688" si="1009">SUM(K684:K687)</f>
        <v>1450.3190736521756</v>
      </c>
      <c r="L688" s="23">
        <f t="shared" si="1009"/>
        <v>1597.9360794281292</v>
      </c>
      <c r="M688" s="23">
        <f t="shared" si="1009"/>
        <v>1736.225346702613</v>
      </c>
      <c r="N688" s="23">
        <f t="shared" si="1009"/>
        <v>1862.4302375455491</v>
      </c>
      <c r="O688" s="23">
        <f t="shared" si="1009"/>
        <v>1962.1695530199452</v>
      </c>
      <c r="P688" s="23">
        <f t="shared" ref="P688:T688" si="1010">SUM(P684:P687)</f>
        <v>2048.9088647986696</v>
      </c>
      <c r="Q688" s="23">
        <f t="shared" si="1010"/>
        <v>2122.6650787176231</v>
      </c>
      <c r="R688" s="23">
        <f t="shared" si="1010"/>
        <v>2183.5484708893387</v>
      </c>
      <c r="S688" s="23">
        <f t="shared" si="1010"/>
        <v>2231.8569161536398</v>
      </c>
      <c r="T688" s="23">
        <f t="shared" si="1010"/>
        <v>2281.8016157993652</v>
      </c>
    </row>
    <row r="689" spans="1:26" s="17" customFormat="1" outlineLevel="1" x14ac:dyDescent="0.2">
      <c r="A689" s="10"/>
      <c r="B689" s="2"/>
      <c r="C689" s="2"/>
      <c r="D689" s="10"/>
    </row>
    <row r="690" spans="1:26" s="17" customFormat="1" outlineLevel="1" x14ac:dyDescent="0.2">
      <c r="A690" s="10"/>
      <c r="B690" s="2"/>
      <c r="C690" s="2" t="s">
        <v>48</v>
      </c>
      <c r="D690" s="10"/>
    </row>
    <row r="691" spans="1:26" s="13" customFormat="1" outlineLevel="1" x14ac:dyDescent="0.2">
      <c r="A691" s="8"/>
      <c r="B691" s="1"/>
      <c r="C691" s="1" t="s">
        <v>49</v>
      </c>
      <c r="D691" s="8"/>
      <c r="H691" s="12">
        <v>4</v>
      </c>
      <c r="I691" s="12">
        <v>3</v>
      </c>
      <c r="J691" s="13">
        <f t="shared" ref="J691:T691" si="1011">J454</f>
        <v>3.9901618464251873</v>
      </c>
      <c r="K691" s="13">
        <f t="shared" si="1011"/>
        <v>4.5872768343322567</v>
      </c>
      <c r="L691" s="13">
        <f t="shared" si="1011"/>
        <v>5.2137681355146528</v>
      </c>
      <c r="M691" s="13">
        <f t="shared" si="1011"/>
        <v>5.7627710033728352</v>
      </c>
      <c r="N691" s="13">
        <f t="shared" si="1011"/>
        <v>6.1731292718305664</v>
      </c>
      <c r="O691" s="13">
        <f t="shared" si="1011"/>
        <v>6.5663535426964375</v>
      </c>
      <c r="P691" s="13">
        <f t="shared" si="1011"/>
        <v>6.8926412160441011</v>
      </c>
      <c r="Q691" s="13">
        <f t="shared" si="1011"/>
        <v>7.23388699568532</v>
      </c>
      <c r="R691" s="13">
        <f t="shared" si="1011"/>
        <v>7.58743543718328</v>
      </c>
      <c r="S691" s="13">
        <f t="shared" si="1011"/>
        <v>7.9535391966365898</v>
      </c>
      <c r="T691" s="13">
        <f t="shared" si="1011"/>
        <v>8.3358780916500574</v>
      </c>
      <c r="U691" s="13" t="s">
        <v>300</v>
      </c>
      <c r="W691" s="21"/>
      <c r="Y691" s="13">
        <f>J761</f>
        <v>-0.99016184642518734</v>
      </c>
      <c r="Z691" s="13" t="b">
        <f>Y691=V691</f>
        <v>0</v>
      </c>
    </row>
    <row r="692" spans="1:26" s="13" customFormat="1" outlineLevel="1" x14ac:dyDescent="0.2">
      <c r="A692" s="8"/>
      <c r="B692" s="1"/>
      <c r="C692" s="1" t="s">
        <v>50</v>
      </c>
      <c r="D692" s="8"/>
      <c r="H692" s="12">
        <v>55</v>
      </c>
      <c r="I692" s="12">
        <v>40</v>
      </c>
      <c r="J692" s="13">
        <f t="shared" ref="J692:T692" si="1012">J457</f>
        <v>44.941846555445167</v>
      </c>
      <c r="K692" s="13">
        <f t="shared" si="1012"/>
        <v>48.824515455850452</v>
      </c>
      <c r="L692" s="13">
        <f t="shared" si="1012"/>
        <v>52.598576380682402</v>
      </c>
      <c r="M692" s="13">
        <f t="shared" si="1012"/>
        <v>56.183786715149161</v>
      </c>
      <c r="N692" s="13">
        <f t="shared" si="1012"/>
        <v>58.995240931982785</v>
      </c>
      <c r="O692" s="13">
        <f t="shared" si="1012"/>
        <v>61.937236439663295</v>
      </c>
      <c r="P692" s="13">
        <f t="shared" si="1012"/>
        <v>65.01495021795354</v>
      </c>
      <c r="Q692" s="13">
        <f t="shared" si="1012"/>
        <v>68.233756576801554</v>
      </c>
      <c r="R692" s="13">
        <f t="shared" si="1012"/>
        <v>71.568607993428358</v>
      </c>
      <c r="S692" s="13">
        <f t="shared" si="1012"/>
        <v>75.021887650587615</v>
      </c>
      <c r="T692" s="13">
        <f t="shared" si="1012"/>
        <v>78.628305487602887</v>
      </c>
      <c r="U692" s="13" t="s">
        <v>300</v>
      </c>
      <c r="V692" s="21"/>
      <c r="W692" s="21"/>
      <c r="Y692" s="13">
        <f>J762</f>
        <v>-4.9418465554451672</v>
      </c>
      <c r="Z692" s="13" t="b">
        <f>Y692=V692</f>
        <v>0</v>
      </c>
    </row>
    <row r="693" spans="1:26" s="13" customFormat="1" outlineLevel="1" x14ac:dyDescent="0.2">
      <c r="A693" s="8"/>
      <c r="B693" s="1"/>
      <c r="C693" s="1" t="s">
        <v>45</v>
      </c>
      <c r="D693" s="8"/>
      <c r="H693" s="12">
        <v>0</v>
      </c>
      <c r="I693" s="12">
        <v>363</v>
      </c>
      <c r="J693" s="152">
        <f>I693+J371+J372</f>
        <v>1</v>
      </c>
      <c r="K693" s="152">
        <f t="shared" ref="K693:O693" si="1013">J693</f>
        <v>1</v>
      </c>
      <c r="L693" s="152">
        <f t="shared" si="1013"/>
        <v>1</v>
      </c>
      <c r="M693" s="152">
        <f t="shared" si="1013"/>
        <v>1</v>
      </c>
      <c r="N693" s="152">
        <f t="shared" si="1013"/>
        <v>1</v>
      </c>
      <c r="O693" s="152">
        <f t="shared" si="1013"/>
        <v>1</v>
      </c>
      <c r="P693" s="152">
        <f t="shared" ref="P693:P694" si="1014">O693</f>
        <v>1</v>
      </c>
      <c r="Q693" s="152">
        <f t="shared" ref="Q693:Q694" si="1015">P693</f>
        <v>1</v>
      </c>
      <c r="R693" s="152">
        <f t="shared" ref="R693:R694" si="1016">Q693</f>
        <v>1</v>
      </c>
      <c r="S693" s="152">
        <f t="shared" ref="S693:S694" si="1017">R693</f>
        <v>1</v>
      </c>
      <c r="T693" s="152">
        <f t="shared" ref="T693:T694" si="1018">S693</f>
        <v>1</v>
      </c>
      <c r="V693" s="21"/>
      <c r="W693" s="21"/>
    </row>
    <row r="694" spans="1:26" s="13" customFormat="1" outlineLevel="1" x14ac:dyDescent="0.2">
      <c r="A694" s="8"/>
      <c r="B694" s="1"/>
      <c r="C694" s="1" t="s">
        <v>51</v>
      </c>
      <c r="D694" s="8"/>
      <c r="H694" s="12">
        <v>0</v>
      </c>
      <c r="I694" s="12">
        <v>8</v>
      </c>
      <c r="J694" s="152">
        <f>I694</f>
        <v>8</v>
      </c>
      <c r="K694" s="152">
        <f t="shared" ref="K694:O694" si="1019">J694</f>
        <v>8</v>
      </c>
      <c r="L694" s="152">
        <f t="shared" si="1019"/>
        <v>8</v>
      </c>
      <c r="M694" s="152">
        <f t="shared" si="1019"/>
        <v>8</v>
      </c>
      <c r="N694" s="152">
        <f t="shared" si="1019"/>
        <v>8</v>
      </c>
      <c r="O694" s="152">
        <f t="shared" si="1019"/>
        <v>8</v>
      </c>
      <c r="P694" s="152">
        <f t="shared" si="1014"/>
        <v>8</v>
      </c>
      <c r="Q694" s="152">
        <f t="shared" si="1015"/>
        <v>8</v>
      </c>
      <c r="R694" s="152">
        <f t="shared" si="1016"/>
        <v>8</v>
      </c>
      <c r="S694" s="152">
        <f t="shared" si="1017"/>
        <v>8</v>
      </c>
      <c r="T694" s="152">
        <f t="shared" si="1018"/>
        <v>8</v>
      </c>
      <c r="V694" s="21"/>
      <c r="W694" s="21"/>
    </row>
    <row r="695" spans="1:26" s="13" customFormat="1" outlineLevel="1" x14ac:dyDescent="0.2">
      <c r="A695" s="8"/>
      <c r="B695" s="1"/>
      <c r="C695" s="1" t="s">
        <v>52</v>
      </c>
      <c r="D695" s="8"/>
      <c r="H695" s="12">
        <v>207</v>
      </c>
      <c r="I695" s="12">
        <v>94</v>
      </c>
      <c r="J695" s="13">
        <f t="shared" ref="J695:T695" si="1020">J438*J$604</f>
        <v>105.61333940529614</v>
      </c>
      <c r="K695" s="13">
        <f t="shared" si="1020"/>
        <v>114.73761132124856</v>
      </c>
      <c r="L695" s="13">
        <f t="shared" si="1020"/>
        <v>123.60665449460365</v>
      </c>
      <c r="M695" s="13">
        <f t="shared" si="1020"/>
        <v>132.03189878060053</v>
      </c>
      <c r="N695" s="13">
        <f t="shared" si="1020"/>
        <v>138.63881619015956</v>
      </c>
      <c r="O695" s="13">
        <f t="shared" si="1020"/>
        <v>145.55250563320871</v>
      </c>
      <c r="P695" s="13">
        <f t="shared" si="1020"/>
        <v>152.78513301219081</v>
      </c>
      <c r="Q695" s="13">
        <f t="shared" si="1020"/>
        <v>160.34932795548363</v>
      </c>
      <c r="R695" s="13">
        <f t="shared" si="1020"/>
        <v>168.18622878455662</v>
      </c>
      <c r="S695" s="13">
        <f t="shared" si="1020"/>
        <v>176.30143597888087</v>
      </c>
      <c r="T695" s="13">
        <f t="shared" si="1020"/>
        <v>184.77651789586676</v>
      </c>
      <c r="U695" s="13" t="s">
        <v>300</v>
      </c>
      <c r="V695" s="21"/>
      <c r="W695" s="21"/>
      <c r="Y695" s="13">
        <f>J759</f>
        <v>-11.613339405296145</v>
      </c>
      <c r="Z695" s="13" t="b">
        <f>Y695=V695</f>
        <v>0</v>
      </c>
    </row>
    <row r="696" spans="1:26" s="13" customFormat="1" outlineLevel="1" x14ac:dyDescent="0.2">
      <c r="A696" s="8"/>
      <c r="B696" s="1"/>
      <c r="C696" s="1" t="s">
        <v>246</v>
      </c>
      <c r="D696" s="8"/>
      <c r="H696" s="12">
        <v>13</v>
      </c>
      <c r="I696" s="12">
        <v>26</v>
      </c>
      <c r="J696" s="13">
        <f t="shared" ref="J696:T696" si="1021">J439*J$604</f>
        <v>29.212200261039357</v>
      </c>
      <c r="K696" s="13">
        <f t="shared" si="1021"/>
        <v>31.735935046302796</v>
      </c>
      <c r="L696" s="13">
        <f t="shared" si="1021"/>
        <v>34.189074647443562</v>
      </c>
      <c r="M696" s="13">
        <f t="shared" si="1021"/>
        <v>36.519461364846947</v>
      </c>
      <c r="N696" s="13">
        <f t="shared" si="1021"/>
        <v>38.34690660578881</v>
      </c>
      <c r="O696" s="13">
        <f t="shared" si="1021"/>
        <v>40.259203685781138</v>
      </c>
      <c r="P696" s="13">
        <f t="shared" si="1021"/>
        <v>42.259717641669802</v>
      </c>
      <c r="Q696" s="13">
        <f t="shared" si="1021"/>
        <v>44.351941774921002</v>
      </c>
      <c r="R696" s="13">
        <f t="shared" si="1021"/>
        <v>46.519595195728428</v>
      </c>
      <c r="S696" s="13">
        <f t="shared" si="1021"/>
        <v>48.764226972881943</v>
      </c>
      <c r="T696" s="13">
        <f t="shared" si="1021"/>
        <v>51.108398566941865</v>
      </c>
      <c r="V696" s="21"/>
      <c r="W696" s="21"/>
      <c r="Y696" s="13">
        <f>J764</f>
        <v>-3.2122002610393565</v>
      </c>
      <c r="Z696" s="13" t="b">
        <f>Y696=V696</f>
        <v>0</v>
      </c>
    </row>
    <row r="697" spans="1:26" s="13" customFormat="1" outlineLevel="1" x14ac:dyDescent="0.2">
      <c r="A697" s="8"/>
      <c r="B697" s="1"/>
      <c r="C697" s="1" t="s">
        <v>53</v>
      </c>
      <c r="D697" s="8"/>
      <c r="H697" s="12">
        <v>425</v>
      </c>
      <c r="I697" s="12">
        <v>674</v>
      </c>
      <c r="J697" s="13">
        <f t="shared" ref="J697:T697" si="1022">J470</f>
        <v>654.98936795356803</v>
      </c>
      <c r="K697" s="13">
        <f t="shared" si="1022"/>
        <v>865.21310261125905</v>
      </c>
      <c r="L697" s="13">
        <f t="shared" si="1022"/>
        <v>1098.958946535437</v>
      </c>
      <c r="M697" s="13">
        <f t="shared" si="1022"/>
        <v>1362.7662510340811</v>
      </c>
      <c r="N697" s="13">
        <f t="shared" si="1022"/>
        <v>1659.1710668271658</v>
      </c>
      <c r="O697" s="13">
        <f t="shared" si="1022"/>
        <v>2000.5165820752036</v>
      </c>
      <c r="P697" s="13">
        <f t="shared" si="1022"/>
        <v>2391.7046157081936</v>
      </c>
      <c r="Q697" s="13">
        <f t="shared" si="1022"/>
        <v>2841.8341824222398</v>
      </c>
      <c r="R697" s="13">
        <f t="shared" si="1022"/>
        <v>3357.0596888627324</v>
      </c>
      <c r="S697" s="13">
        <f t="shared" si="1022"/>
        <v>3930.078465567381</v>
      </c>
      <c r="T697" s="13">
        <f t="shared" si="1022"/>
        <v>4563.5041251690782</v>
      </c>
      <c r="V697" s="21"/>
      <c r="W697" s="21"/>
    </row>
    <row r="698" spans="1:26" s="17" customFormat="1" outlineLevel="1" x14ac:dyDescent="0.2">
      <c r="A698" s="10"/>
      <c r="B698" s="2"/>
      <c r="C698" s="4" t="s">
        <v>54</v>
      </c>
      <c r="D698" s="27"/>
      <c r="E698" s="23"/>
      <c r="F698" s="23"/>
      <c r="G698" s="23"/>
      <c r="H698" s="16">
        <v>704</v>
      </c>
      <c r="I698" s="16">
        <v>1208</v>
      </c>
      <c r="J698" s="23">
        <f>SUM(J691:J697)</f>
        <v>847.74691602177393</v>
      </c>
      <c r="K698" s="23">
        <f t="shared" ref="K698:O698" si="1023">SUM(K691:K697)</f>
        <v>1074.0984412689932</v>
      </c>
      <c r="L698" s="23">
        <f t="shared" si="1023"/>
        <v>1323.5670201936812</v>
      </c>
      <c r="M698" s="23">
        <f t="shared" si="1023"/>
        <v>1602.2641688980505</v>
      </c>
      <c r="N698" s="23">
        <f t="shared" si="1023"/>
        <v>1910.3251598269276</v>
      </c>
      <c r="O698" s="23">
        <f t="shared" si="1023"/>
        <v>2263.8318813765532</v>
      </c>
      <c r="P698" s="23">
        <f t="shared" ref="P698:T698" si="1024">SUM(P691:P697)</f>
        <v>2667.657057796052</v>
      </c>
      <c r="Q698" s="23">
        <f t="shared" si="1024"/>
        <v>3131.0030957251311</v>
      </c>
      <c r="R698" s="23">
        <f t="shared" si="1024"/>
        <v>3659.921556273629</v>
      </c>
      <c r="S698" s="23">
        <f t="shared" si="1024"/>
        <v>4247.1195553663683</v>
      </c>
      <c r="T698" s="23">
        <f t="shared" si="1024"/>
        <v>4895.3532252111399</v>
      </c>
      <c r="V698" s="21"/>
      <c r="W698" s="21"/>
    </row>
    <row r="699" spans="1:26" s="17" customFormat="1" outlineLevel="1" x14ac:dyDescent="0.2">
      <c r="A699" s="10"/>
      <c r="B699" s="2"/>
      <c r="C699" s="2"/>
      <c r="D699" s="10"/>
    </row>
    <row r="700" spans="1:26" s="17" customFormat="1" ht="13.5" outlineLevel="1" thickBot="1" x14ac:dyDescent="0.25">
      <c r="A700" s="10"/>
      <c r="B700" s="2"/>
      <c r="C700" s="5" t="s">
        <v>55</v>
      </c>
      <c r="D700" s="28"/>
      <c r="E700" s="25"/>
      <c r="F700" s="25"/>
      <c r="G700" s="25"/>
      <c r="H700" s="18">
        <v>1983</v>
      </c>
      <c r="I700" s="18">
        <v>2209</v>
      </c>
      <c r="J700" s="25">
        <f>J688+J698</f>
        <v>2145.3245832590901</v>
      </c>
      <c r="K700" s="25">
        <f t="shared" ref="K700:O700" si="1025">K688+K698</f>
        <v>2524.4175149211687</v>
      </c>
      <c r="L700" s="25">
        <f t="shared" si="1025"/>
        <v>2921.5030996218102</v>
      </c>
      <c r="M700" s="25">
        <f t="shared" si="1025"/>
        <v>3338.4895156006633</v>
      </c>
      <c r="N700" s="25">
        <f t="shared" si="1025"/>
        <v>3772.7553973724766</v>
      </c>
      <c r="O700" s="25">
        <f t="shared" si="1025"/>
        <v>4226.0014343964986</v>
      </c>
      <c r="P700" s="25">
        <f t="shared" ref="P700:T700" si="1026">P688+P698</f>
        <v>4716.565922594722</v>
      </c>
      <c r="Q700" s="25">
        <f t="shared" si="1026"/>
        <v>5253.6681744427542</v>
      </c>
      <c r="R700" s="25">
        <f t="shared" si="1026"/>
        <v>5843.4700271629681</v>
      </c>
      <c r="S700" s="25">
        <f t="shared" si="1026"/>
        <v>6478.9764715200081</v>
      </c>
      <c r="T700" s="25">
        <f t="shared" si="1026"/>
        <v>7177.1548410105052</v>
      </c>
    </row>
    <row r="701" spans="1:26" s="13" customFormat="1" ht="13.5" outlineLevel="1" thickTop="1" x14ac:dyDescent="0.2">
      <c r="A701" s="8"/>
      <c r="B701" s="1"/>
      <c r="C701" s="1"/>
      <c r="D701" s="8"/>
    </row>
    <row r="702" spans="1:26" s="17" customFormat="1" outlineLevel="1" x14ac:dyDescent="0.2">
      <c r="A702" s="10"/>
      <c r="B702" s="2"/>
      <c r="C702" s="2" t="s">
        <v>56</v>
      </c>
      <c r="D702" s="10"/>
    </row>
    <row r="703" spans="1:26" s="17" customFormat="1" outlineLevel="1" x14ac:dyDescent="0.2">
      <c r="A703" s="10"/>
      <c r="B703" s="2"/>
      <c r="C703" s="2" t="s">
        <v>57</v>
      </c>
      <c r="D703" s="10"/>
    </row>
    <row r="704" spans="1:26" s="13" customFormat="1" outlineLevel="1" x14ac:dyDescent="0.2">
      <c r="A704" s="8"/>
      <c r="B704" s="1"/>
      <c r="C704" s="1" t="s">
        <v>58</v>
      </c>
      <c r="D704" s="8"/>
      <c r="H704" s="12">
        <v>887</v>
      </c>
      <c r="I704" s="12">
        <v>1080</v>
      </c>
      <c r="J704" s="13">
        <f t="shared" ref="J704:T704" si="1027">J513</f>
        <v>1525.0322071361106</v>
      </c>
      <c r="K704" s="13">
        <f t="shared" si="1027"/>
        <v>1867.8542069117348</v>
      </c>
      <c r="L704" s="13">
        <f t="shared" si="1027"/>
        <v>2227.6559674789082</v>
      </c>
      <c r="M704" s="13">
        <f t="shared" si="1027"/>
        <v>2611.2543406607497</v>
      </c>
      <c r="N704" s="13">
        <f t="shared" si="1027"/>
        <v>3020.2249640120758</v>
      </c>
      <c r="O704" s="13">
        <f t="shared" si="1027"/>
        <v>3448.5934946857219</v>
      </c>
      <c r="P704" s="13">
        <f t="shared" si="1027"/>
        <v>3916.8762122775502</v>
      </c>
      <c r="Q704" s="13">
        <f t="shared" si="1027"/>
        <v>4430.6752234473361</v>
      </c>
      <c r="R704" s="13">
        <f t="shared" si="1027"/>
        <v>4996.3337023438253</v>
      </c>
      <c r="S704" s="13">
        <f t="shared" si="1027"/>
        <v>5606.8393861677341</v>
      </c>
      <c r="T704" s="13">
        <f t="shared" si="1027"/>
        <v>6278.908318347324</v>
      </c>
    </row>
    <row r="705" spans="1:26" s="17" customFormat="1" outlineLevel="1" x14ac:dyDescent="0.2">
      <c r="A705" s="10"/>
      <c r="B705" s="2"/>
      <c r="C705" s="2" t="s">
        <v>59</v>
      </c>
      <c r="D705" s="10"/>
      <c r="H705" s="24">
        <v>887</v>
      </c>
      <c r="I705" s="24">
        <v>1080</v>
      </c>
      <c r="J705" s="17">
        <f>J704</f>
        <v>1525.0322071361106</v>
      </c>
      <c r="K705" s="17">
        <f t="shared" ref="K705:O705" si="1028">K704</f>
        <v>1867.8542069117348</v>
      </c>
      <c r="L705" s="17">
        <f t="shared" si="1028"/>
        <v>2227.6559674789082</v>
      </c>
      <c r="M705" s="17">
        <f t="shared" si="1028"/>
        <v>2611.2543406607497</v>
      </c>
      <c r="N705" s="17">
        <f t="shared" si="1028"/>
        <v>3020.2249640120758</v>
      </c>
      <c r="O705" s="17">
        <f t="shared" si="1028"/>
        <v>3448.5934946857219</v>
      </c>
      <c r="P705" s="17">
        <f t="shared" ref="P705:T705" si="1029">P704</f>
        <v>3916.8762122775502</v>
      </c>
      <c r="Q705" s="17">
        <f t="shared" si="1029"/>
        <v>4430.6752234473361</v>
      </c>
      <c r="R705" s="17">
        <f t="shared" si="1029"/>
        <v>4996.3337023438253</v>
      </c>
      <c r="S705" s="17">
        <f t="shared" si="1029"/>
        <v>5606.8393861677341</v>
      </c>
      <c r="T705" s="17">
        <f t="shared" si="1029"/>
        <v>6278.908318347324</v>
      </c>
    </row>
    <row r="706" spans="1:26" s="13" customFormat="1" outlineLevel="1" x14ac:dyDescent="0.2">
      <c r="A706" s="8"/>
      <c r="B706" s="1"/>
      <c r="C706" s="1"/>
      <c r="D706" s="8"/>
    </row>
    <row r="707" spans="1:26" s="17" customFormat="1" outlineLevel="1" x14ac:dyDescent="0.2">
      <c r="A707" s="10"/>
      <c r="B707" s="2"/>
      <c r="C707" s="2" t="s">
        <v>60</v>
      </c>
      <c r="D707" s="10"/>
    </row>
    <row r="708" spans="1:26" s="13" customFormat="1" outlineLevel="1" x14ac:dyDescent="0.2">
      <c r="A708" s="8"/>
      <c r="B708" s="1"/>
      <c r="C708" s="1" t="s">
        <v>61</v>
      </c>
      <c r="D708" s="8"/>
      <c r="H708" s="12">
        <v>815</v>
      </c>
      <c r="I708" s="12">
        <v>225</v>
      </c>
      <c r="J708" s="13">
        <f t="shared" ref="J708:T708" si="1030">J485</f>
        <v>238</v>
      </c>
      <c r="K708" s="13">
        <f t="shared" si="1030"/>
        <v>238</v>
      </c>
      <c r="L708" s="13">
        <f t="shared" si="1030"/>
        <v>238</v>
      </c>
      <c r="M708" s="13">
        <f t="shared" si="1030"/>
        <v>238</v>
      </c>
      <c r="N708" s="13">
        <f t="shared" si="1030"/>
        <v>238</v>
      </c>
      <c r="O708" s="13">
        <f t="shared" si="1030"/>
        <v>238</v>
      </c>
      <c r="P708" s="13">
        <f t="shared" si="1030"/>
        <v>238</v>
      </c>
      <c r="Q708" s="13">
        <f t="shared" si="1030"/>
        <v>238</v>
      </c>
      <c r="R708" s="13">
        <f t="shared" si="1030"/>
        <v>238</v>
      </c>
      <c r="S708" s="13">
        <f t="shared" si="1030"/>
        <v>238</v>
      </c>
      <c r="T708" s="13">
        <f t="shared" si="1030"/>
        <v>238</v>
      </c>
    </row>
    <row r="709" spans="1:26" s="13" customFormat="1" outlineLevel="1" x14ac:dyDescent="0.2">
      <c r="A709" s="8"/>
      <c r="B709" s="1"/>
      <c r="C709" s="1" t="s">
        <v>247</v>
      </c>
      <c r="D709" s="8"/>
      <c r="H709" s="12">
        <v>3</v>
      </c>
      <c r="I709" s="12">
        <v>4</v>
      </c>
      <c r="J709" s="13">
        <f t="shared" ref="J709:T709" si="1031">J447*J$604</f>
        <v>4.4941846555445171</v>
      </c>
      <c r="K709" s="13">
        <f t="shared" si="1031"/>
        <v>4.8824515455850452</v>
      </c>
      <c r="L709" s="13">
        <f t="shared" si="1031"/>
        <v>5.2598576380682402</v>
      </c>
      <c r="M709" s="13">
        <f t="shared" si="1031"/>
        <v>5.6183786715149155</v>
      </c>
      <c r="N709" s="13">
        <f t="shared" si="1031"/>
        <v>5.8995240931982789</v>
      </c>
      <c r="O709" s="13">
        <f t="shared" si="1031"/>
        <v>6.1937236439663286</v>
      </c>
      <c r="P709" s="13">
        <f t="shared" si="1031"/>
        <v>6.5014950217953542</v>
      </c>
      <c r="Q709" s="13">
        <f t="shared" si="1031"/>
        <v>6.8233756576801552</v>
      </c>
      <c r="R709" s="13">
        <f t="shared" si="1031"/>
        <v>7.1568607993428355</v>
      </c>
      <c r="S709" s="13">
        <f t="shared" si="1031"/>
        <v>7.5021887650587615</v>
      </c>
      <c r="T709" s="13">
        <f t="shared" si="1031"/>
        <v>7.8628305487602876</v>
      </c>
      <c r="V709" s="21"/>
      <c r="W709" s="21"/>
      <c r="Y709" s="13">
        <f>J777</f>
        <v>0</v>
      </c>
      <c r="Z709" s="13" t="b">
        <f>Y709=V709</f>
        <v>1</v>
      </c>
    </row>
    <row r="710" spans="1:26" s="13" customFormat="1" outlineLevel="1" x14ac:dyDescent="0.2">
      <c r="A710" s="8"/>
      <c r="B710" s="1"/>
      <c r="C710" s="1" t="s">
        <v>63</v>
      </c>
      <c r="D710" s="8"/>
      <c r="H710" s="12">
        <v>5</v>
      </c>
      <c r="I710" s="12">
        <v>6</v>
      </c>
      <c r="J710" s="13">
        <f t="shared" ref="J710:T710" si="1032">J448*J$604</f>
        <v>6.7412769833167756</v>
      </c>
      <c r="K710" s="13">
        <f t="shared" si="1032"/>
        <v>7.3236773183775687</v>
      </c>
      <c r="L710" s="13">
        <f t="shared" si="1032"/>
        <v>7.8897864571023604</v>
      </c>
      <c r="M710" s="13">
        <f t="shared" si="1032"/>
        <v>8.4275680072723738</v>
      </c>
      <c r="N710" s="13">
        <f t="shared" si="1032"/>
        <v>8.8492861397974174</v>
      </c>
      <c r="O710" s="13">
        <f t="shared" si="1032"/>
        <v>9.2905854659494942</v>
      </c>
      <c r="P710" s="13">
        <f t="shared" si="1032"/>
        <v>9.7522425326930318</v>
      </c>
      <c r="Q710" s="13">
        <f t="shared" si="1032"/>
        <v>10.235063486520232</v>
      </c>
      <c r="R710" s="13">
        <f t="shared" si="1032"/>
        <v>10.735291199014254</v>
      </c>
      <c r="S710" s="13">
        <f t="shared" si="1032"/>
        <v>11.253283147588142</v>
      </c>
      <c r="T710" s="13">
        <f t="shared" si="1032"/>
        <v>11.794245823140431</v>
      </c>
      <c r="V710" s="21"/>
      <c r="W710" s="21"/>
    </row>
    <row r="711" spans="1:26" s="13" customFormat="1" outlineLevel="1" x14ac:dyDescent="0.2">
      <c r="A711" s="8"/>
      <c r="B711" s="1"/>
      <c r="C711" s="1" t="s">
        <v>248</v>
      </c>
      <c r="D711" s="8"/>
      <c r="H711" s="12">
        <v>8</v>
      </c>
      <c r="I711" s="12">
        <v>7</v>
      </c>
      <c r="J711" s="13">
        <f t="shared" ref="J711:T711" si="1033">J449*J$604</f>
        <v>7.8648231472029044</v>
      </c>
      <c r="K711" s="13">
        <f t="shared" si="1033"/>
        <v>8.5442902047738301</v>
      </c>
      <c r="L711" s="13">
        <f t="shared" si="1033"/>
        <v>9.2047508666194204</v>
      </c>
      <c r="M711" s="13">
        <f t="shared" si="1033"/>
        <v>9.8321626751511033</v>
      </c>
      <c r="N711" s="13">
        <f t="shared" si="1033"/>
        <v>10.324167163096988</v>
      </c>
      <c r="O711" s="13">
        <f t="shared" si="1033"/>
        <v>10.839016376941075</v>
      </c>
      <c r="P711" s="13">
        <f t="shared" si="1033"/>
        <v>11.377616288141869</v>
      </c>
      <c r="Q711" s="13">
        <f t="shared" si="1033"/>
        <v>11.94090740094027</v>
      </c>
      <c r="R711" s="13">
        <f t="shared" si="1033"/>
        <v>12.524506398849962</v>
      </c>
      <c r="S711" s="13">
        <f t="shared" si="1033"/>
        <v>13.128830338852833</v>
      </c>
      <c r="T711" s="13">
        <f t="shared" si="1033"/>
        <v>13.759953460330504</v>
      </c>
      <c r="V711" s="21"/>
      <c r="W711" s="21"/>
    </row>
    <row r="712" spans="1:26" s="17" customFormat="1" outlineLevel="1" x14ac:dyDescent="0.2">
      <c r="A712" s="10"/>
      <c r="B712" s="2"/>
      <c r="C712" s="4" t="s">
        <v>65</v>
      </c>
      <c r="D712" s="27"/>
      <c r="E712" s="23"/>
      <c r="F712" s="23"/>
      <c r="G712" s="23"/>
      <c r="H712" s="16">
        <v>831</v>
      </c>
      <c r="I712" s="16">
        <v>242</v>
      </c>
      <c r="J712" s="23">
        <f>SUM(J708:J711)</f>
        <v>257.10028478606421</v>
      </c>
      <c r="K712" s="23">
        <f t="shared" ref="K712:O712" si="1034">SUM(K708:K711)</f>
        <v>258.75041906873645</v>
      </c>
      <c r="L712" s="23">
        <f t="shared" si="1034"/>
        <v>260.35439496179004</v>
      </c>
      <c r="M712" s="23">
        <f t="shared" si="1034"/>
        <v>261.87810935393838</v>
      </c>
      <c r="N712" s="23">
        <f t="shared" si="1034"/>
        <v>263.07297739609265</v>
      </c>
      <c r="O712" s="23">
        <f t="shared" si="1034"/>
        <v>264.3233254868569</v>
      </c>
      <c r="P712" s="23">
        <f t="shared" ref="P712:T712" si="1035">SUM(P708:P711)</f>
        <v>265.63135384263029</v>
      </c>
      <c r="Q712" s="23">
        <f t="shared" si="1035"/>
        <v>266.99934654514067</v>
      </c>
      <c r="R712" s="23">
        <f t="shared" si="1035"/>
        <v>268.41665839720707</v>
      </c>
      <c r="S712" s="23">
        <f t="shared" si="1035"/>
        <v>269.88430225149972</v>
      </c>
      <c r="T712" s="23">
        <f t="shared" si="1035"/>
        <v>271.41702983223121</v>
      </c>
    </row>
    <row r="713" spans="1:26" s="17" customFormat="1" outlineLevel="1" x14ac:dyDescent="0.2">
      <c r="A713" s="10"/>
      <c r="B713" s="2"/>
      <c r="C713" s="2"/>
      <c r="D713" s="10"/>
    </row>
    <row r="714" spans="1:26" s="17" customFormat="1" outlineLevel="1" x14ac:dyDescent="0.2">
      <c r="A714" s="10"/>
      <c r="B714" s="2"/>
      <c r="C714" s="2" t="s">
        <v>66</v>
      </c>
      <c r="D714" s="10"/>
    </row>
    <row r="715" spans="1:26" s="13" customFormat="1" outlineLevel="1" x14ac:dyDescent="0.2">
      <c r="A715" s="8"/>
      <c r="B715" s="1"/>
      <c r="C715" s="1" t="s">
        <v>67</v>
      </c>
      <c r="D715" s="8"/>
      <c r="H715" s="12">
        <v>120</v>
      </c>
      <c r="I715" s="12">
        <v>132</v>
      </c>
      <c r="J715" s="13">
        <f t="shared" ref="J715:T715" si="1036">J460</f>
        <v>175.56712124270825</v>
      </c>
      <c r="K715" s="13">
        <f t="shared" si="1036"/>
        <v>201.84018071061928</v>
      </c>
      <c r="L715" s="13">
        <f t="shared" si="1036"/>
        <v>229.40579796264475</v>
      </c>
      <c r="M715" s="13">
        <f t="shared" si="1036"/>
        <v>253.56192414840473</v>
      </c>
      <c r="N715" s="13">
        <f t="shared" si="1036"/>
        <v>271.61768796054491</v>
      </c>
      <c r="O715" s="13">
        <f t="shared" si="1036"/>
        <v>288.91955587864322</v>
      </c>
      <c r="P715" s="13">
        <f t="shared" si="1036"/>
        <v>303.27621350594046</v>
      </c>
      <c r="Q715" s="13">
        <f t="shared" si="1036"/>
        <v>318.29102781015405</v>
      </c>
      <c r="R715" s="13">
        <f t="shared" si="1036"/>
        <v>333.84715923606439</v>
      </c>
      <c r="S715" s="13">
        <f t="shared" si="1036"/>
        <v>349.95572465201002</v>
      </c>
      <c r="T715" s="13">
        <f t="shared" si="1036"/>
        <v>366.77863603260261</v>
      </c>
      <c r="V715" s="21"/>
      <c r="W715" s="21"/>
    </row>
    <row r="716" spans="1:26" s="13" customFormat="1" outlineLevel="1" x14ac:dyDescent="0.2">
      <c r="A716" s="8"/>
      <c r="B716" s="1"/>
      <c r="C716" s="1" t="s">
        <v>61</v>
      </c>
      <c r="D716" s="8"/>
      <c r="H716" s="12">
        <v>83</v>
      </c>
      <c r="I716" s="12">
        <v>669</v>
      </c>
      <c r="J716" s="13">
        <f t="shared" ref="J716:T716" si="1037">J490</f>
        <v>91</v>
      </c>
      <c r="K716" s="13">
        <f t="shared" si="1037"/>
        <v>91</v>
      </c>
      <c r="L716" s="13">
        <f t="shared" si="1037"/>
        <v>91</v>
      </c>
      <c r="M716" s="13">
        <f t="shared" si="1037"/>
        <v>91</v>
      </c>
      <c r="N716" s="13">
        <f t="shared" si="1037"/>
        <v>91</v>
      </c>
      <c r="O716" s="13">
        <f t="shared" si="1037"/>
        <v>91</v>
      </c>
      <c r="P716" s="13">
        <f t="shared" si="1037"/>
        <v>91</v>
      </c>
      <c r="Q716" s="13">
        <f t="shared" si="1037"/>
        <v>91</v>
      </c>
      <c r="R716" s="13">
        <f t="shared" si="1037"/>
        <v>91</v>
      </c>
      <c r="S716" s="13">
        <f t="shared" si="1037"/>
        <v>91</v>
      </c>
      <c r="T716" s="13">
        <f t="shared" si="1037"/>
        <v>91</v>
      </c>
    </row>
    <row r="717" spans="1:26" s="13" customFormat="1" outlineLevel="1" x14ac:dyDescent="0.2">
      <c r="A717" s="8"/>
      <c r="B717" s="1"/>
      <c r="C717" s="1" t="s">
        <v>62</v>
      </c>
      <c r="D717" s="8"/>
      <c r="H717" s="12">
        <v>5</v>
      </c>
      <c r="I717" s="12">
        <v>6</v>
      </c>
      <c r="J717" s="13">
        <f t="shared" ref="J717:T717" si="1038">J441*J$604</f>
        <v>6.7412769833167756</v>
      </c>
      <c r="K717" s="13">
        <f t="shared" si="1038"/>
        <v>7.3236773183775687</v>
      </c>
      <c r="L717" s="13">
        <f t="shared" si="1038"/>
        <v>7.8897864571023604</v>
      </c>
      <c r="M717" s="13">
        <f t="shared" si="1038"/>
        <v>8.4275680072723738</v>
      </c>
      <c r="N717" s="13">
        <f t="shared" si="1038"/>
        <v>8.8492861397974174</v>
      </c>
      <c r="O717" s="13">
        <f t="shared" si="1038"/>
        <v>9.2905854659494942</v>
      </c>
      <c r="P717" s="13">
        <f t="shared" si="1038"/>
        <v>9.7522425326930318</v>
      </c>
      <c r="Q717" s="13">
        <f t="shared" si="1038"/>
        <v>10.235063486520232</v>
      </c>
      <c r="R717" s="13">
        <f t="shared" si="1038"/>
        <v>10.735291199014254</v>
      </c>
      <c r="S717" s="13">
        <f t="shared" si="1038"/>
        <v>11.253283147588142</v>
      </c>
      <c r="T717" s="13">
        <f t="shared" si="1038"/>
        <v>11.794245823140431</v>
      </c>
      <c r="V717" s="21"/>
      <c r="W717" s="21"/>
    </row>
    <row r="718" spans="1:26" s="13" customFormat="1" outlineLevel="1" x14ac:dyDescent="0.2">
      <c r="A718" s="8"/>
      <c r="B718" s="1"/>
      <c r="C718" s="1" t="s">
        <v>68</v>
      </c>
      <c r="D718" s="8"/>
      <c r="H718" s="12">
        <v>16</v>
      </c>
      <c r="I718" s="12">
        <v>23</v>
      </c>
      <c r="J718" s="13">
        <f t="shared" ref="J718:T718" si="1039">J442*J$604</f>
        <v>25.841561769380974</v>
      </c>
      <c r="K718" s="13">
        <f t="shared" si="1039"/>
        <v>28.074096387114015</v>
      </c>
      <c r="L718" s="13">
        <f t="shared" si="1039"/>
        <v>30.244181418892381</v>
      </c>
      <c r="M718" s="13">
        <f t="shared" si="1039"/>
        <v>32.305677361210769</v>
      </c>
      <c r="N718" s="13">
        <f t="shared" si="1039"/>
        <v>33.922263535890103</v>
      </c>
      <c r="O718" s="13">
        <f t="shared" si="1039"/>
        <v>35.613910952806393</v>
      </c>
      <c r="P718" s="13">
        <f t="shared" si="1039"/>
        <v>37.383596375323286</v>
      </c>
      <c r="Q718" s="13">
        <f t="shared" si="1039"/>
        <v>39.234410031660893</v>
      </c>
      <c r="R718" s="13">
        <f t="shared" si="1039"/>
        <v>41.151949596221307</v>
      </c>
      <c r="S718" s="13">
        <f t="shared" si="1039"/>
        <v>43.137585399087882</v>
      </c>
      <c r="T718" s="13">
        <f t="shared" si="1039"/>
        <v>45.211275655371658</v>
      </c>
      <c r="V718" s="21"/>
      <c r="W718" s="21"/>
    </row>
    <row r="719" spans="1:26" s="13" customFormat="1" outlineLevel="1" x14ac:dyDescent="0.2">
      <c r="A719" s="8"/>
      <c r="B719" s="1"/>
      <c r="C719" s="1" t="s">
        <v>253</v>
      </c>
      <c r="D719" s="8"/>
      <c r="H719" s="12">
        <v>41</v>
      </c>
      <c r="I719" s="12">
        <v>57</v>
      </c>
      <c r="J719" s="13">
        <f t="shared" ref="J719:T719" si="1040">J443*J$604</f>
        <v>64.042131341509361</v>
      </c>
      <c r="K719" s="13">
        <f t="shared" si="1040"/>
        <v>69.574934524586894</v>
      </c>
      <c r="L719" s="13">
        <f t="shared" si="1040"/>
        <v>74.952971342472424</v>
      </c>
      <c r="M719" s="13">
        <f t="shared" si="1040"/>
        <v>80.061896069087538</v>
      </c>
      <c r="N719" s="13">
        <f t="shared" si="1040"/>
        <v>84.068218328075474</v>
      </c>
      <c r="O719" s="13">
        <f t="shared" si="1040"/>
        <v>88.260561926520182</v>
      </c>
      <c r="P719" s="13">
        <f t="shared" si="1040"/>
        <v>92.646304060583788</v>
      </c>
      <c r="Q719" s="13">
        <f t="shared" si="1040"/>
        <v>97.233103121942193</v>
      </c>
      <c r="R719" s="13">
        <f t="shared" si="1040"/>
        <v>101.9852663906354</v>
      </c>
      <c r="S719" s="13">
        <f t="shared" si="1040"/>
        <v>106.90618990208735</v>
      </c>
      <c r="T719" s="13">
        <f t="shared" si="1040"/>
        <v>112.04533531983409</v>
      </c>
      <c r="V719" s="21"/>
      <c r="W719" s="21"/>
    </row>
    <row r="720" spans="1:26" s="17" customFormat="1" outlineLevel="1" x14ac:dyDescent="0.2">
      <c r="A720" s="10"/>
      <c r="B720" s="2"/>
      <c r="C720" s="4" t="s">
        <v>69</v>
      </c>
      <c r="D720" s="27"/>
      <c r="E720" s="23"/>
      <c r="F720" s="23"/>
      <c r="G720" s="23"/>
      <c r="H720" s="16">
        <v>265</v>
      </c>
      <c r="I720" s="16">
        <v>887</v>
      </c>
      <c r="J720" s="23">
        <f>SUM(J715:J719)</f>
        <v>363.19209133691538</v>
      </c>
      <c r="K720" s="23">
        <f t="shared" ref="K720:O720" si="1041">SUM(K715:K719)</f>
        <v>397.8128889406978</v>
      </c>
      <c r="L720" s="23">
        <f t="shared" si="1041"/>
        <v>433.49273718111192</v>
      </c>
      <c r="M720" s="23">
        <f t="shared" si="1041"/>
        <v>465.35706558597542</v>
      </c>
      <c r="N720" s="23">
        <f t="shared" si="1041"/>
        <v>489.45745596430794</v>
      </c>
      <c r="O720" s="23">
        <f t="shared" si="1041"/>
        <v>513.08461422391929</v>
      </c>
      <c r="P720" s="23">
        <f t="shared" ref="P720:T720" si="1042">SUM(P715:P719)</f>
        <v>534.05835647454057</v>
      </c>
      <c r="Q720" s="23">
        <f t="shared" si="1042"/>
        <v>555.99360445027742</v>
      </c>
      <c r="R720" s="23">
        <f t="shared" si="1042"/>
        <v>578.71966642193536</v>
      </c>
      <c r="S720" s="23">
        <f t="shared" si="1042"/>
        <v>602.2527831007734</v>
      </c>
      <c r="T720" s="23">
        <f t="shared" si="1042"/>
        <v>626.82949283094877</v>
      </c>
      <c r="V720" s="89"/>
      <c r="W720" s="89"/>
    </row>
    <row r="721" spans="1:24" s="17" customFormat="1" outlineLevel="1" x14ac:dyDescent="0.2">
      <c r="A721" s="10"/>
      <c r="B721" s="2"/>
      <c r="C721" s="2"/>
      <c r="D721" s="10"/>
    </row>
    <row r="722" spans="1:24" s="17" customFormat="1" ht="13.5" outlineLevel="1" thickBot="1" x14ac:dyDescent="0.25">
      <c r="A722" s="10"/>
      <c r="B722" s="2"/>
      <c r="C722" s="5" t="s">
        <v>70</v>
      </c>
      <c r="D722" s="28"/>
      <c r="E722" s="25"/>
      <c r="F722" s="25"/>
      <c r="G722" s="25"/>
      <c r="H722" s="18">
        <v>1983</v>
      </c>
      <c r="I722" s="18">
        <v>2209</v>
      </c>
      <c r="J722" s="25">
        <f>J705+J712+J720</f>
        <v>2145.3245832590901</v>
      </c>
      <c r="K722" s="25">
        <f t="shared" ref="K722:O722" si="1043">K705+K712+K720</f>
        <v>2524.4175149211687</v>
      </c>
      <c r="L722" s="25">
        <f t="shared" si="1043"/>
        <v>2921.5030996218102</v>
      </c>
      <c r="M722" s="25">
        <f t="shared" si="1043"/>
        <v>3338.4895156006633</v>
      </c>
      <c r="N722" s="25">
        <f t="shared" si="1043"/>
        <v>3772.7553973724762</v>
      </c>
      <c r="O722" s="25">
        <f t="shared" si="1043"/>
        <v>4226.0014343964976</v>
      </c>
      <c r="P722" s="25">
        <f t="shared" ref="P722:T722" si="1044">P705+P712+P720</f>
        <v>4716.5659225947211</v>
      </c>
      <c r="Q722" s="25">
        <f t="shared" si="1044"/>
        <v>5253.6681744427542</v>
      </c>
      <c r="R722" s="25">
        <f t="shared" si="1044"/>
        <v>5843.4700271629681</v>
      </c>
      <c r="S722" s="25">
        <f t="shared" si="1044"/>
        <v>6478.9764715200072</v>
      </c>
      <c r="T722" s="25">
        <f t="shared" si="1044"/>
        <v>7177.1548410105042</v>
      </c>
      <c r="V722" s="21"/>
      <c r="W722" s="21"/>
    </row>
    <row r="723" spans="1:24" ht="13.5" outlineLevel="1" thickTop="1" x14ac:dyDescent="0.2">
      <c r="V723" s="180"/>
      <c r="W723" s="180"/>
      <c r="X723" s="180"/>
    </row>
    <row r="724" spans="1:24" outlineLevel="1" x14ac:dyDescent="0.2">
      <c r="C724" s="158" t="s">
        <v>102</v>
      </c>
      <c r="D724" s="159"/>
      <c r="E724" s="160"/>
      <c r="F724" s="160"/>
      <c r="G724" s="160"/>
      <c r="H724" s="334">
        <f>ROUND(H700-H722,0)</f>
        <v>0</v>
      </c>
      <c r="I724" s="334">
        <f t="shared" ref="I724:T724" si="1045">ROUND(I700-I722,0)</f>
        <v>0</v>
      </c>
      <c r="J724" s="334">
        <f t="shared" si="1045"/>
        <v>0</v>
      </c>
      <c r="K724" s="334">
        <f t="shared" si="1045"/>
        <v>0</v>
      </c>
      <c r="L724" s="334">
        <f t="shared" si="1045"/>
        <v>0</v>
      </c>
      <c r="M724" s="334">
        <f t="shared" si="1045"/>
        <v>0</v>
      </c>
      <c r="N724" s="334">
        <f t="shared" si="1045"/>
        <v>0</v>
      </c>
      <c r="O724" s="334">
        <f t="shared" si="1045"/>
        <v>0</v>
      </c>
      <c r="P724" s="334">
        <f t="shared" si="1045"/>
        <v>0</v>
      </c>
      <c r="Q724" s="334">
        <f t="shared" si="1045"/>
        <v>0</v>
      </c>
      <c r="R724" s="334">
        <f t="shared" si="1045"/>
        <v>0</v>
      </c>
      <c r="S724" s="334">
        <f t="shared" si="1045"/>
        <v>0</v>
      </c>
      <c r="T724" s="334">
        <f t="shared" si="1045"/>
        <v>0</v>
      </c>
    </row>
    <row r="725" spans="1:24" outlineLevel="1" x14ac:dyDescent="0.2"/>
    <row r="726" spans="1:24" outlineLevel="1" x14ac:dyDescent="0.2">
      <c r="B726" s="2" t="s">
        <v>122</v>
      </c>
      <c r="C726" s="2"/>
    </row>
    <row r="727" spans="1:24" outlineLevel="1" x14ac:dyDescent="0.2">
      <c r="C727" s="1" t="s">
        <v>233</v>
      </c>
      <c r="H727" s="13">
        <f t="shared" ref="H727:T727" si="1046">H650</f>
        <v>363</v>
      </c>
      <c r="I727" s="13">
        <f t="shared" si="1046"/>
        <v>348</v>
      </c>
      <c r="J727" s="13">
        <f t="shared" si="1046"/>
        <v>352.16453953247225</v>
      </c>
      <c r="K727" s="13">
        <f t="shared" si="1046"/>
        <v>355.09461072163157</v>
      </c>
      <c r="L727" s="13">
        <f t="shared" si="1046"/>
        <v>353.52728266222954</v>
      </c>
      <c r="M727" s="13">
        <f t="shared" si="1046"/>
        <v>358.234746317614</v>
      </c>
      <c r="N727" s="13">
        <f t="shared" si="1046"/>
        <v>362.57817292306453</v>
      </c>
      <c r="O727" s="13">
        <f t="shared" si="1046"/>
        <v>370.66827197059314</v>
      </c>
      <c r="P727" s="13">
        <f t="shared" si="1046"/>
        <v>386.0681425821823</v>
      </c>
      <c r="Q727" s="13">
        <f t="shared" si="1046"/>
        <v>403.58113477206803</v>
      </c>
      <c r="R727" s="13">
        <f t="shared" si="1046"/>
        <v>423.27103874643996</v>
      </c>
      <c r="S727" s="13">
        <f t="shared" si="1046"/>
        <v>428.18177338305094</v>
      </c>
      <c r="T727" s="13">
        <f t="shared" si="1046"/>
        <v>448.0791244822023</v>
      </c>
    </row>
    <row r="728" spans="1:24" outlineLevel="1" x14ac:dyDescent="0.2">
      <c r="C728" s="1" t="s">
        <v>234</v>
      </c>
      <c r="H728" s="13">
        <f>-H727*0.18</f>
        <v>-65.34</v>
      </c>
      <c r="I728" s="13">
        <f t="shared" ref="I728:T728" si="1047">-I727*0.18</f>
        <v>-62.64</v>
      </c>
      <c r="J728" s="13">
        <f t="shared" si="1047"/>
        <v>-63.389617115844999</v>
      </c>
      <c r="K728" s="13">
        <f t="shared" si="1047"/>
        <v>-63.91702992989368</v>
      </c>
      <c r="L728" s="13">
        <f t="shared" si="1047"/>
        <v>-63.634910879201314</v>
      </c>
      <c r="M728" s="13">
        <f t="shared" si="1047"/>
        <v>-64.482254337170517</v>
      </c>
      <c r="N728" s="13">
        <f t="shared" si="1047"/>
        <v>-65.264071126151606</v>
      </c>
      <c r="O728" s="13">
        <f t="shared" si="1047"/>
        <v>-66.72028895470676</v>
      </c>
      <c r="P728" s="13">
        <f t="shared" si="1047"/>
        <v>-69.492265664792811</v>
      </c>
      <c r="Q728" s="13">
        <f t="shared" si="1047"/>
        <v>-72.644604258972237</v>
      </c>
      <c r="R728" s="13">
        <f t="shared" si="1047"/>
        <v>-76.188786974359189</v>
      </c>
      <c r="S728" s="13">
        <f t="shared" si="1047"/>
        <v>-77.072719208949167</v>
      </c>
      <c r="T728" s="13">
        <f t="shared" si="1047"/>
        <v>-80.654242406796413</v>
      </c>
      <c r="V728" s="1" t="s">
        <v>801</v>
      </c>
    </row>
    <row r="729" spans="1:24" outlineLevel="1" x14ac:dyDescent="0.2">
      <c r="C729" s="4" t="s">
        <v>235</v>
      </c>
      <c r="D729" s="47"/>
      <c r="E729" s="48"/>
      <c r="F729" s="48"/>
      <c r="G729" s="48"/>
      <c r="H729" s="23">
        <f>SUM(H727:H728)</f>
        <v>297.65999999999997</v>
      </c>
      <c r="I729" s="23">
        <f>SUM(I727:I728)</f>
        <v>285.36</v>
      </c>
      <c r="J729" s="23">
        <f t="shared" ref="J729:O729" si="1048">SUM(J727:J728)</f>
        <v>288.77492241662725</v>
      </c>
      <c r="K729" s="23">
        <f t="shared" si="1048"/>
        <v>291.17758079173791</v>
      </c>
      <c r="L729" s="23">
        <f t="shared" si="1048"/>
        <v>289.89237178302824</v>
      </c>
      <c r="M729" s="23">
        <f t="shared" si="1048"/>
        <v>293.75249198044349</v>
      </c>
      <c r="N729" s="23">
        <f t="shared" si="1048"/>
        <v>297.31410179691295</v>
      </c>
      <c r="O729" s="23">
        <f t="shared" si="1048"/>
        <v>303.94798301588639</v>
      </c>
      <c r="P729" s="23">
        <f t="shared" ref="P729:T729" si="1049">SUM(P727:P728)</f>
        <v>316.57587691738951</v>
      </c>
      <c r="Q729" s="23">
        <f t="shared" si="1049"/>
        <v>330.93653051309582</v>
      </c>
      <c r="R729" s="23">
        <f t="shared" si="1049"/>
        <v>347.08225177208078</v>
      </c>
      <c r="S729" s="23">
        <f t="shared" si="1049"/>
        <v>351.10905417410174</v>
      </c>
      <c r="T729" s="23">
        <f t="shared" si="1049"/>
        <v>367.42488207540589</v>
      </c>
    </row>
    <row r="730" spans="1:24" outlineLevel="1" x14ac:dyDescent="0.2">
      <c r="H730" s="13"/>
      <c r="I730" s="52">
        <f>IFERROR(I729/H729-1,"")</f>
        <v>-4.1322314049586639E-2</v>
      </c>
      <c r="J730" s="52">
        <f t="shared" ref="J730:O730" si="1050">IFERROR(J729/I729-1,"")</f>
        <v>1.196706762204669E-2</v>
      </c>
      <c r="K730" s="52">
        <f t="shared" si="1050"/>
        <v>8.3201766794840371E-3</v>
      </c>
      <c r="L730" s="52">
        <f t="shared" si="1050"/>
        <v>-4.4138322916725814E-3</v>
      </c>
      <c r="M730" s="52">
        <f t="shared" si="1050"/>
        <v>1.3315701181348727E-2</v>
      </c>
      <c r="N730" s="52">
        <f t="shared" si="1050"/>
        <v>1.2124526305998362E-2</v>
      </c>
      <c r="O730" s="52">
        <f t="shared" si="1050"/>
        <v>2.2312702891922997E-2</v>
      </c>
      <c r="P730" s="52">
        <f t="shared" ref="P730" si="1051">IFERROR(P729/O729-1,"")</f>
        <v>4.1546233589722759E-2</v>
      </c>
      <c r="Q730" s="52">
        <f t="shared" ref="Q730" si="1052">IFERROR(Q729/P729-1,"")</f>
        <v>4.5362438021308016E-2</v>
      </c>
      <c r="R730" s="52">
        <f t="shared" ref="R730" si="1053">IFERROR(R729/Q729-1,"")</f>
        <v>4.8787969203496706E-2</v>
      </c>
      <c r="S730" s="52">
        <f t="shared" ref="S730" si="1054">IFERROR(S729/R729-1,"")</f>
        <v>1.1601867803558097E-2</v>
      </c>
      <c r="T730" s="52">
        <f t="shared" ref="T730" si="1055">IFERROR(T729/S729-1,"")</f>
        <v>4.6469402333366716E-2</v>
      </c>
    </row>
    <row r="731" spans="1:24" outlineLevel="1" x14ac:dyDescent="0.2">
      <c r="C731" s="2" t="s">
        <v>236</v>
      </c>
      <c r="H731" s="13"/>
      <c r="I731" s="13"/>
      <c r="J731" s="13"/>
      <c r="K731" s="13"/>
      <c r="L731" s="13"/>
      <c r="M731" s="13"/>
      <c r="N731" s="13"/>
      <c r="O731" s="13"/>
      <c r="P731" s="13"/>
      <c r="Q731" s="13"/>
      <c r="R731" s="13"/>
      <c r="S731" s="13"/>
      <c r="T731" s="13"/>
    </row>
    <row r="732" spans="1:24" outlineLevel="1" x14ac:dyDescent="0.2">
      <c r="C732" s="1" t="s">
        <v>301</v>
      </c>
      <c r="H732" s="13">
        <f>H700-H733</f>
        <v>1558</v>
      </c>
      <c r="I732" s="13">
        <f t="shared" ref="I732:T732" si="1056">I700-I733</f>
        <v>1535</v>
      </c>
      <c r="J732" s="13">
        <f t="shared" si="1056"/>
        <v>1490.3352153055221</v>
      </c>
      <c r="K732" s="13">
        <f t="shared" si="1056"/>
        <v>1659.2044123099097</v>
      </c>
      <c r="L732" s="13">
        <f t="shared" si="1056"/>
        <v>1822.5441530863732</v>
      </c>
      <c r="M732" s="13">
        <f t="shared" si="1056"/>
        <v>1975.7232645665822</v>
      </c>
      <c r="N732" s="13">
        <f t="shared" si="1056"/>
        <v>2113.5843305453109</v>
      </c>
      <c r="O732" s="13">
        <f t="shared" si="1056"/>
        <v>2225.484852321295</v>
      </c>
      <c r="P732" s="13">
        <f t="shared" si="1056"/>
        <v>2324.8613068865284</v>
      </c>
      <c r="Q732" s="13">
        <f t="shared" si="1056"/>
        <v>2411.8339920205144</v>
      </c>
      <c r="R732" s="13">
        <f t="shared" si="1056"/>
        <v>2486.4103383002357</v>
      </c>
      <c r="S732" s="13">
        <f t="shared" si="1056"/>
        <v>2548.898005952627</v>
      </c>
      <c r="T732" s="13">
        <f t="shared" si="1056"/>
        <v>2613.650715841427</v>
      </c>
    </row>
    <row r="733" spans="1:24" outlineLevel="1" x14ac:dyDescent="0.2">
      <c r="C733" s="36" t="s">
        <v>371</v>
      </c>
      <c r="H733" s="13">
        <f>H697</f>
        <v>425</v>
      </c>
      <c r="I733" s="13">
        <f t="shared" ref="I733:T733" si="1057">I697</f>
        <v>674</v>
      </c>
      <c r="J733" s="13">
        <f t="shared" si="1057"/>
        <v>654.98936795356803</v>
      </c>
      <c r="K733" s="13">
        <f t="shared" si="1057"/>
        <v>865.21310261125905</v>
      </c>
      <c r="L733" s="13">
        <f t="shared" si="1057"/>
        <v>1098.958946535437</v>
      </c>
      <c r="M733" s="13">
        <f t="shared" si="1057"/>
        <v>1362.7662510340811</v>
      </c>
      <c r="N733" s="13">
        <f t="shared" si="1057"/>
        <v>1659.1710668271658</v>
      </c>
      <c r="O733" s="13">
        <f t="shared" si="1057"/>
        <v>2000.5165820752036</v>
      </c>
      <c r="P733" s="13">
        <f t="shared" si="1057"/>
        <v>2391.7046157081936</v>
      </c>
      <c r="Q733" s="13">
        <f t="shared" si="1057"/>
        <v>2841.8341824222398</v>
      </c>
      <c r="R733" s="13">
        <f t="shared" si="1057"/>
        <v>3357.0596888627324</v>
      </c>
      <c r="S733" s="13">
        <f t="shared" si="1057"/>
        <v>3930.078465567381</v>
      </c>
      <c r="T733" s="13">
        <f t="shared" si="1057"/>
        <v>4563.5041251690782</v>
      </c>
    </row>
    <row r="734" spans="1:24" outlineLevel="1" x14ac:dyDescent="0.2">
      <c r="C734" s="1" t="s">
        <v>237</v>
      </c>
      <c r="H734" s="13">
        <f t="shared" ref="H734:T734" si="1058">-H720</f>
        <v>-265</v>
      </c>
      <c r="I734" s="13">
        <f t="shared" si="1058"/>
        <v>-887</v>
      </c>
      <c r="J734" s="13">
        <f t="shared" si="1058"/>
        <v>-363.19209133691538</v>
      </c>
      <c r="K734" s="13">
        <f t="shared" si="1058"/>
        <v>-397.8128889406978</v>
      </c>
      <c r="L734" s="13">
        <f t="shared" si="1058"/>
        <v>-433.49273718111192</v>
      </c>
      <c r="M734" s="13">
        <f t="shared" si="1058"/>
        <v>-465.35706558597542</v>
      </c>
      <c r="N734" s="13">
        <f t="shared" si="1058"/>
        <v>-489.45745596430794</v>
      </c>
      <c r="O734" s="13">
        <f t="shared" si="1058"/>
        <v>-513.08461422391929</v>
      </c>
      <c r="P734" s="13">
        <f t="shared" si="1058"/>
        <v>-534.05835647454057</v>
      </c>
      <c r="Q734" s="13">
        <f t="shared" si="1058"/>
        <v>-555.99360445027742</v>
      </c>
      <c r="R734" s="13">
        <f t="shared" si="1058"/>
        <v>-578.71966642193536</v>
      </c>
      <c r="S734" s="13">
        <f t="shared" si="1058"/>
        <v>-602.2527831007734</v>
      </c>
      <c r="T734" s="13">
        <f t="shared" si="1058"/>
        <v>-626.82949283094877</v>
      </c>
    </row>
    <row r="735" spans="1:24" outlineLevel="1" x14ac:dyDescent="0.2">
      <c r="C735" s="147" t="s">
        <v>238</v>
      </c>
      <c r="H735" s="13">
        <f t="shared" ref="H735:T735" si="1059">H716</f>
        <v>83</v>
      </c>
      <c r="I735" s="13">
        <f t="shared" si="1059"/>
        <v>669</v>
      </c>
      <c r="J735" s="13">
        <f t="shared" si="1059"/>
        <v>91</v>
      </c>
      <c r="K735" s="13">
        <f t="shared" si="1059"/>
        <v>91</v>
      </c>
      <c r="L735" s="13">
        <f t="shared" si="1059"/>
        <v>91</v>
      </c>
      <c r="M735" s="13">
        <f t="shared" si="1059"/>
        <v>91</v>
      </c>
      <c r="N735" s="13">
        <f t="shared" si="1059"/>
        <v>91</v>
      </c>
      <c r="O735" s="13">
        <f t="shared" si="1059"/>
        <v>91</v>
      </c>
      <c r="P735" s="13">
        <f t="shared" si="1059"/>
        <v>91</v>
      </c>
      <c r="Q735" s="13">
        <f t="shared" si="1059"/>
        <v>91</v>
      </c>
      <c r="R735" s="13">
        <f t="shared" si="1059"/>
        <v>91</v>
      </c>
      <c r="S735" s="13">
        <f t="shared" si="1059"/>
        <v>91</v>
      </c>
      <c r="T735" s="13">
        <f t="shared" si="1059"/>
        <v>91</v>
      </c>
    </row>
    <row r="736" spans="1:24" outlineLevel="1" x14ac:dyDescent="0.2">
      <c r="C736" s="4" t="s">
        <v>236</v>
      </c>
      <c r="D736" s="47"/>
      <c r="E736" s="48"/>
      <c r="F736" s="48"/>
      <c r="G736" s="48"/>
      <c r="H736" s="23">
        <f t="shared" ref="H736:T736" si="1060">SUM(H732:H735)</f>
        <v>1801</v>
      </c>
      <c r="I736" s="23">
        <f t="shared" si="1060"/>
        <v>1991</v>
      </c>
      <c r="J736" s="23">
        <f t="shared" si="1060"/>
        <v>1873.1324919221747</v>
      </c>
      <c r="K736" s="23">
        <f t="shared" si="1060"/>
        <v>2217.6046259804707</v>
      </c>
      <c r="L736" s="23">
        <f t="shared" si="1060"/>
        <v>2579.0103624406984</v>
      </c>
      <c r="M736" s="23">
        <f t="shared" si="1060"/>
        <v>2964.1324500146879</v>
      </c>
      <c r="N736" s="23">
        <f t="shared" si="1060"/>
        <v>3374.2979414081688</v>
      </c>
      <c r="O736" s="23">
        <f t="shared" si="1060"/>
        <v>3803.9168201725793</v>
      </c>
      <c r="P736" s="23">
        <f t="shared" si="1060"/>
        <v>4273.5075661201818</v>
      </c>
      <c r="Q736" s="23">
        <f t="shared" si="1060"/>
        <v>4788.6745699924768</v>
      </c>
      <c r="R736" s="23">
        <f t="shared" si="1060"/>
        <v>5355.7503607410326</v>
      </c>
      <c r="S736" s="23">
        <f t="shared" si="1060"/>
        <v>5967.7236884192343</v>
      </c>
      <c r="T736" s="23">
        <f t="shared" si="1060"/>
        <v>6641.3253481795564</v>
      </c>
    </row>
    <row r="737" spans="1:22" outlineLevel="1" x14ac:dyDescent="0.2">
      <c r="C737" s="58" t="s">
        <v>148</v>
      </c>
      <c r="E737" s="93"/>
      <c r="F737" s="93"/>
      <c r="G737" s="93"/>
      <c r="H737" s="93"/>
      <c r="I737" s="99">
        <f>IFERROR(I736/H736-1,"")</f>
        <v>0.10549694614103267</v>
      </c>
      <c r="J737" s="99">
        <f t="shared" ref="J737" si="1061">IFERROR(J736/I736-1,"")</f>
        <v>-5.9200154735221111E-2</v>
      </c>
      <c r="K737" s="99">
        <f t="shared" ref="K737" si="1062">IFERROR(K736/J736-1,"")</f>
        <v>0.18390163832180662</v>
      </c>
      <c r="L737" s="99">
        <f t="shared" ref="L737" si="1063">IFERROR(L736/K736-1,"")</f>
        <v>0.16297122229371208</v>
      </c>
      <c r="M737" s="99">
        <f t="shared" ref="M737" si="1064">IFERROR(M736/L736-1,"")</f>
        <v>0.14932940680762585</v>
      </c>
      <c r="N737" s="99">
        <f t="shared" ref="N737" si="1065">IFERROR(N736/M736-1,"")</f>
        <v>0.13837623598481508</v>
      </c>
      <c r="O737" s="99">
        <f t="shared" ref="O737" si="1066">IFERROR(O736/N736-1,"")</f>
        <v>0.12732096756847766</v>
      </c>
      <c r="P737" s="99">
        <f t="shared" ref="P737" si="1067">IFERROR(P736/O736-1,"")</f>
        <v>0.12344926772775699</v>
      </c>
      <c r="Q737" s="99">
        <f t="shared" ref="Q737" si="1068">IFERROR(Q736/P736-1,"")</f>
        <v>0.1205489860264839</v>
      </c>
      <c r="R737" s="99">
        <f t="shared" ref="R737" si="1069">IFERROR(R736/Q736-1,"")</f>
        <v>0.1184201980026065</v>
      </c>
      <c r="S737" s="99">
        <f t="shared" ref="S737" si="1070">IFERROR(S736/R736-1,"")</f>
        <v>0.11426472230000062</v>
      </c>
      <c r="T737" s="99">
        <f t="shared" ref="T737" si="1071">IFERROR(T736/S736-1,"")</f>
        <v>0.11287413676130664</v>
      </c>
    </row>
    <row r="738" spans="1:22" outlineLevel="1" x14ac:dyDescent="0.2">
      <c r="C738" s="2"/>
      <c r="I738" s="52"/>
      <c r="J738" s="52"/>
      <c r="K738" s="52"/>
      <c r="L738" s="52"/>
      <c r="M738" s="52"/>
      <c r="N738" s="52"/>
      <c r="O738" s="52"/>
      <c r="P738" s="52"/>
      <c r="Q738" s="52"/>
      <c r="R738" s="52"/>
      <c r="S738" s="52"/>
      <c r="T738" s="52"/>
    </row>
    <row r="739" spans="1:22" outlineLevel="1" x14ac:dyDescent="0.2">
      <c r="C739" s="3" t="s">
        <v>796</v>
      </c>
      <c r="H739" s="13"/>
      <c r="I739" s="13">
        <f t="shared" ref="I739:T739" si="1072">AVERAGE(E396:I396)*5</f>
        <v>943.63373928094825</v>
      </c>
      <c r="J739" s="13">
        <f t="shared" si="1072"/>
        <v>1002.09738083201</v>
      </c>
      <c r="K739" s="13">
        <f t="shared" si="1072"/>
        <v>1053.8431004221809</v>
      </c>
      <c r="L739" s="13">
        <f t="shared" si="1072"/>
        <v>1140.3144509990816</v>
      </c>
      <c r="M739" s="13">
        <f t="shared" si="1072"/>
        <v>1265.7007053817938</v>
      </c>
      <c r="N739" s="13">
        <f t="shared" si="1072"/>
        <v>1329.8527088761293</v>
      </c>
      <c r="O739" s="13">
        <f t="shared" si="1072"/>
        <v>1381.0990224316388</v>
      </c>
      <c r="P739" s="13">
        <f t="shared" si="1072"/>
        <v>1419.7655936879964</v>
      </c>
      <c r="Q739" s="13">
        <f t="shared" si="1072"/>
        <v>1446.6700593304381</v>
      </c>
      <c r="R739" s="13">
        <f t="shared" si="1072"/>
        <v>1467.2510909561406</v>
      </c>
      <c r="S739" s="13">
        <f t="shared" si="1072"/>
        <v>1497.5884416699919</v>
      </c>
      <c r="T739" s="13">
        <f t="shared" si="1072"/>
        <v>1538.5986815540027</v>
      </c>
    </row>
    <row r="740" spans="1:22" outlineLevel="1" x14ac:dyDescent="0.2">
      <c r="C740" s="3" t="s">
        <v>530</v>
      </c>
      <c r="H740" s="249">
        <v>211.34285714285707</v>
      </c>
      <c r="I740" s="71">
        <f>H740+34</f>
        <v>245.34285714285707</v>
      </c>
      <c r="J740" s="71">
        <f>I740</f>
        <v>245.34285714285707</v>
      </c>
      <c r="K740" s="71">
        <f t="shared" ref="K740:T740" si="1073">J740</f>
        <v>245.34285714285707</v>
      </c>
      <c r="L740" s="71">
        <f t="shared" si="1073"/>
        <v>245.34285714285707</v>
      </c>
      <c r="M740" s="71">
        <f t="shared" si="1073"/>
        <v>245.34285714285707</v>
      </c>
      <c r="N740" s="71">
        <f t="shared" si="1073"/>
        <v>245.34285714285707</v>
      </c>
      <c r="O740" s="71">
        <f t="shared" si="1073"/>
        <v>245.34285714285707</v>
      </c>
      <c r="P740" s="71">
        <f t="shared" si="1073"/>
        <v>245.34285714285707</v>
      </c>
      <c r="Q740" s="71">
        <f t="shared" si="1073"/>
        <v>245.34285714285707</v>
      </c>
      <c r="R740" s="71">
        <f t="shared" si="1073"/>
        <v>245.34285714285707</v>
      </c>
      <c r="S740" s="71">
        <f t="shared" si="1073"/>
        <v>245.34285714285707</v>
      </c>
      <c r="T740" s="71">
        <f t="shared" si="1073"/>
        <v>245.34285714285707</v>
      </c>
    </row>
    <row r="741" spans="1:22" outlineLevel="1" x14ac:dyDescent="0.2">
      <c r="C741" s="4" t="s">
        <v>236</v>
      </c>
      <c r="D741" s="47"/>
      <c r="E741" s="48"/>
      <c r="F741" s="48"/>
      <c r="G741" s="48"/>
      <c r="H741" s="48"/>
      <c r="I741" s="23">
        <f>I739+I740</f>
        <v>1188.9765964238054</v>
      </c>
      <c r="J741" s="23">
        <f t="shared" ref="J741:T741" si="1074">J739+J740</f>
        <v>1247.4402379748672</v>
      </c>
      <c r="K741" s="23">
        <f t="shared" si="1074"/>
        <v>1299.1859575650381</v>
      </c>
      <c r="L741" s="23">
        <f t="shared" si="1074"/>
        <v>1385.6573081419388</v>
      </c>
      <c r="M741" s="23">
        <f t="shared" si="1074"/>
        <v>1511.043562524651</v>
      </c>
      <c r="N741" s="23">
        <f t="shared" si="1074"/>
        <v>1575.1955660189865</v>
      </c>
      <c r="O741" s="23">
        <f t="shared" si="1074"/>
        <v>1626.4418795744959</v>
      </c>
      <c r="P741" s="23">
        <f t="shared" si="1074"/>
        <v>1665.1084508308536</v>
      </c>
      <c r="Q741" s="23">
        <f t="shared" si="1074"/>
        <v>1692.0129164732953</v>
      </c>
      <c r="R741" s="23">
        <f t="shared" si="1074"/>
        <v>1712.5939480989978</v>
      </c>
      <c r="S741" s="23">
        <f t="shared" si="1074"/>
        <v>1742.931298812849</v>
      </c>
      <c r="T741" s="23">
        <f t="shared" si="1074"/>
        <v>1783.9415386968599</v>
      </c>
    </row>
    <row r="742" spans="1:22" outlineLevel="1" x14ac:dyDescent="0.2">
      <c r="C742" s="2"/>
    </row>
    <row r="743" spans="1:22" outlineLevel="1" x14ac:dyDescent="0.2">
      <c r="C743" s="2" t="s">
        <v>122</v>
      </c>
      <c r="I743" s="421">
        <f>IFERROR(I729/AVERAGE(I736,H736),"")</f>
        <v>0.15050632911392406</v>
      </c>
      <c r="J743" s="421">
        <f t="shared" ref="J743:T743" si="1075">IFERROR(J729/AVERAGE(J736,I736),"")</f>
        <v>0.14946429658936411</v>
      </c>
      <c r="K743" s="421">
        <f t="shared" si="1075"/>
        <v>0.1423594684280407</v>
      </c>
      <c r="L743" s="421">
        <f t="shared" si="1075"/>
        <v>0.12087372969596955</v>
      </c>
      <c r="M743" s="421">
        <f t="shared" si="1075"/>
        <v>0.10598770478017799</v>
      </c>
      <c r="N743" s="421">
        <f t="shared" si="1075"/>
        <v>9.3813163018793236E-2</v>
      </c>
      <c r="O743" s="421">
        <f t="shared" si="1075"/>
        <v>8.4686232750426263E-2</v>
      </c>
      <c r="P743" s="421">
        <f t="shared" si="1075"/>
        <v>7.838535200765552E-2</v>
      </c>
      <c r="Q743" s="421">
        <f t="shared" si="1075"/>
        <v>7.3036830543124653E-2</v>
      </c>
      <c r="R743" s="421">
        <f t="shared" si="1075"/>
        <v>6.8428176883750566E-2</v>
      </c>
      <c r="S743" s="421">
        <f t="shared" si="1075"/>
        <v>6.2014369909760947E-2</v>
      </c>
      <c r="T743" s="421">
        <f t="shared" si="1075"/>
        <v>5.8279554787823457E-2</v>
      </c>
      <c r="V743" s="1" t="s">
        <v>302</v>
      </c>
    </row>
    <row r="744" spans="1:22" outlineLevel="1" x14ac:dyDescent="0.2">
      <c r="C744" s="2" t="s">
        <v>430</v>
      </c>
      <c r="I744" s="421">
        <f t="shared" ref="I744:T744" si="1076">I729/(AVERAGE((I732+I734+I735+5%*I604),H732+H734+H735+5%*H604))</f>
        <v>0.20494846841670558</v>
      </c>
      <c r="J744" s="421">
        <f t="shared" si="1076"/>
        <v>0.21937381469863634</v>
      </c>
      <c r="K744" s="421">
        <f t="shared" si="1076"/>
        <v>0.21743878732117233</v>
      </c>
      <c r="L744" s="421">
        <f t="shared" si="1076"/>
        <v>0.19660699895799619</v>
      </c>
      <c r="M744" s="421">
        <f t="shared" si="1076"/>
        <v>0.18322991528683283</v>
      </c>
      <c r="N744" s="421">
        <f t="shared" si="1076"/>
        <v>0.17241572277099798</v>
      </c>
      <c r="O744" s="421">
        <f t="shared" si="1076"/>
        <v>0.16620767180407928</v>
      </c>
      <c r="P744" s="421">
        <f t="shared" si="1076"/>
        <v>0.16526891766515894</v>
      </c>
      <c r="Q744" s="421">
        <f t="shared" si="1076"/>
        <v>0.16622822788800479</v>
      </c>
      <c r="R744" s="421">
        <f t="shared" si="1076"/>
        <v>0.16905569678673416</v>
      </c>
      <c r="S744" s="421">
        <f t="shared" si="1076"/>
        <v>0.16700663776136382</v>
      </c>
      <c r="T744" s="421">
        <f t="shared" si="1076"/>
        <v>0.17121494411750418</v>
      </c>
      <c r="V744" s="1" t="s">
        <v>798</v>
      </c>
    </row>
    <row r="745" spans="1:22" outlineLevel="1" x14ac:dyDescent="0.2">
      <c r="C745" s="2" t="s">
        <v>797</v>
      </c>
      <c r="I745" s="421">
        <f>IFERROR(I729/I741,"")</f>
        <v>0.24000472411173071</v>
      </c>
      <c r="J745" s="421">
        <f t="shared" ref="J745:T745" si="1077">IFERROR(J729/J741,"")</f>
        <v>0.23149399356031142</v>
      </c>
      <c r="K745" s="421">
        <f t="shared" si="1077"/>
        <v>0.2241230973104644</v>
      </c>
      <c r="L745" s="421">
        <f t="shared" si="1077"/>
        <v>0.20920928290108895</v>
      </c>
      <c r="M745" s="421">
        <f t="shared" si="1077"/>
        <v>0.19440372155098026</v>
      </c>
      <c r="N745" s="421">
        <f t="shared" si="1077"/>
        <v>0.18874742172384282</v>
      </c>
      <c r="O745" s="421">
        <f t="shared" si="1077"/>
        <v>0.1868790928424717</v>
      </c>
      <c r="P745" s="421">
        <f t="shared" si="1077"/>
        <v>0.19012327801196666</v>
      </c>
      <c r="Q745" s="421">
        <f t="shared" si="1077"/>
        <v>0.19558747293896259</v>
      </c>
      <c r="R745" s="421">
        <f t="shared" si="1077"/>
        <v>0.20266464923419047</v>
      </c>
      <c r="S745" s="421">
        <f t="shared" si="1077"/>
        <v>0.20144744340367876</v>
      </c>
      <c r="T745" s="421">
        <f t="shared" si="1077"/>
        <v>0.20596240073192296</v>
      </c>
      <c r="V745" s="1" t="s">
        <v>799</v>
      </c>
    </row>
    <row r="747" spans="1:22" x14ac:dyDescent="0.2">
      <c r="A747" s="1" t="s">
        <v>22</v>
      </c>
      <c r="B747" s="34" t="s">
        <v>129</v>
      </c>
      <c r="C747" s="78"/>
      <c r="D747" s="79"/>
      <c r="E747" s="91"/>
      <c r="F747" s="91"/>
      <c r="G747" s="91"/>
      <c r="H747" s="91"/>
      <c r="I747" s="91"/>
      <c r="J747" s="91"/>
      <c r="K747" s="91"/>
      <c r="L747" s="91"/>
      <c r="M747" s="91"/>
      <c r="N747" s="91"/>
      <c r="O747" s="91"/>
      <c r="P747" s="91"/>
      <c r="Q747" s="91"/>
      <c r="R747" s="91"/>
      <c r="S747" s="91"/>
      <c r="T747" s="91"/>
    </row>
    <row r="748" spans="1:22" outlineLevel="1" x14ac:dyDescent="0.2"/>
    <row r="749" spans="1:22" outlineLevel="1" x14ac:dyDescent="0.2">
      <c r="B749" s="2" t="s">
        <v>258</v>
      </c>
      <c r="J749" s="13"/>
      <c r="K749" s="13"/>
      <c r="L749" s="13"/>
      <c r="M749" s="13"/>
      <c r="N749" s="13"/>
      <c r="O749" s="13"/>
      <c r="P749" s="13"/>
      <c r="Q749" s="13"/>
      <c r="R749" s="13"/>
      <c r="S749" s="13"/>
      <c r="T749" s="13"/>
    </row>
    <row r="750" spans="1:22" s="2" customFormat="1" outlineLevel="1" x14ac:dyDescent="0.2">
      <c r="C750" s="2" t="s">
        <v>298</v>
      </c>
      <c r="D750" s="44"/>
      <c r="E750" s="89"/>
      <c r="F750" s="89"/>
      <c r="G750" s="89"/>
      <c r="H750" s="89"/>
      <c r="I750" s="17">
        <f t="shared" ref="I750:T750" si="1078">I661</f>
        <v>283</v>
      </c>
      <c r="J750" s="17">
        <f t="shared" si="1078"/>
        <v>297.63220713611054</v>
      </c>
      <c r="K750" s="17">
        <f t="shared" si="1078"/>
        <v>342.82199977562419</v>
      </c>
      <c r="L750" s="17">
        <f t="shared" si="1078"/>
        <v>359.80176056717363</v>
      </c>
      <c r="M750" s="17">
        <f t="shared" si="1078"/>
        <v>383.59837318184145</v>
      </c>
      <c r="N750" s="17">
        <f t="shared" si="1078"/>
        <v>408.97062335132603</v>
      </c>
      <c r="O750" s="17">
        <f t="shared" si="1078"/>
        <v>428.36853067364615</v>
      </c>
      <c r="P750" s="17">
        <f t="shared" si="1078"/>
        <v>468.28271759182832</v>
      </c>
      <c r="Q750" s="17">
        <f t="shared" si="1078"/>
        <v>513.79901116978624</v>
      </c>
      <c r="R750" s="17">
        <f t="shared" si="1078"/>
        <v>565.65847889648921</v>
      </c>
      <c r="S750" s="17">
        <f t="shared" si="1078"/>
        <v>610.50568382390884</v>
      </c>
      <c r="T750" s="17">
        <f t="shared" si="1078"/>
        <v>672.06893217958952</v>
      </c>
    </row>
    <row r="751" spans="1:22" outlineLevel="1" x14ac:dyDescent="0.2">
      <c r="B751" s="2"/>
      <c r="C751" s="2" t="s">
        <v>402</v>
      </c>
      <c r="I751" s="13"/>
      <c r="J751" s="13"/>
      <c r="K751" s="13"/>
      <c r="L751" s="13"/>
      <c r="M751" s="13"/>
      <c r="N751" s="13"/>
      <c r="O751" s="13"/>
      <c r="P751" s="13"/>
      <c r="Q751" s="13"/>
      <c r="R751" s="13"/>
      <c r="S751" s="13"/>
      <c r="T751" s="13"/>
    </row>
    <row r="752" spans="1:22" outlineLevel="1" x14ac:dyDescent="0.2">
      <c r="B752" s="2"/>
      <c r="C752" s="156" t="s">
        <v>113</v>
      </c>
      <c r="I752" s="13">
        <f t="shared" ref="I752:T752" si="1079">-I643</f>
        <v>118</v>
      </c>
      <c r="J752" s="13">
        <f t="shared" si="1079"/>
        <v>141.42951409365418</v>
      </c>
      <c r="K752" s="13">
        <f t="shared" si="1079"/>
        <v>164.31645266522858</v>
      </c>
      <c r="L752" s="13">
        <f t="shared" si="1079"/>
        <v>187.90668302760071</v>
      </c>
      <c r="M752" s="13">
        <f t="shared" si="1079"/>
        <v>207.19607399431126</v>
      </c>
      <c r="N752" s="13">
        <f t="shared" si="1079"/>
        <v>223.0144880918896</v>
      </c>
      <c r="O752" s="13">
        <f t="shared" si="1079"/>
        <v>238.43489862434353</v>
      </c>
      <c r="P752" s="13">
        <f t="shared" si="1079"/>
        <v>253.30188085121625</v>
      </c>
      <c r="Q752" s="13">
        <f t="shared" si="1079"/>
        <v>267.44327415551356</v>
      </c>
      <c r="R752" s="13">
        <f t="shared" si="1079"/>
        <v>280.54896598253293</v>
      </c>
      <c r="S752" s="13">
        <f t="shared" si="1079"/>
        <v>309.5984741503575</v>
      </c>
      <c r="T752" s="13">
        <f t="shared" si="1079"/>
        <v>325.16735734398168</v>
      </c>
    </row>
    <row r="753" spans="2:22" outlineLevel="1" x14ac:dyDescent="0.2">
      <c r="B753" s="2"/>
      <c r="C753" s="156" t="s">
        <v>114</v>
      </c>
      <c r="I753" s="13">
        <f t="shared" ref="I753:T753" si="1080">-I644</f>
        <v>45</v>
      </c>
      <c r="J753" s="13">
        <f t="shared" si="1080"/>
        <v>49.561868381344937</v>
      </c>
      <c r="K753" s="13">
        <f t="shared" si="1080"/>
        <v>53.84367564471188</v>
      </c>
      <c r="L753" s="13">
        <f t="shared" si="1080"/>
        <v>58.005710032616548</v>
      </c>
      <c r="M753" s="13">
        <f t="shared" si="1080"/>
        <v>61.959479989466494</v>
      </c>
      <c r="N753" s="13">
        <f t="shared" si="1080"/>
        <v>65.059951699790616</v>
      </c>
      <c r="O753" s="13">
        <f t="shared" si="1080"/>
        <v>68.304384345660679</v>
      </c>
      <c r="P753" s="13">
        <f t="shared" si="1080"/>
        <v>71.698487100359159</v>
      </c>
      <c r="Q753" s="13">
        <f t="shared" si="1080"/>
        <v>75.248186752896743</v>
      </c>
      <c r="R753" s="13">
        <f t="shared" si="1080"/>
        <v>78.925860895152795</v>
      </c>
      <c r="S753" s="13">
        <f t="shared" si="1080"/>
        <v>82.734137701068022</v>
      </c>
      <c r="T753" s="13">
        <f t="shared" si="1080"/>
        <v>86.711295291728447</v>
      </c>
    </row>
    <row r="754" spans="2:22" outlineLevel="1" x14ac:dyDescent="0.2">
      <c r="B754" s="2"/>
      <c r="C754" s="61" t="s">
        <v>8</v>
      </c>
      <c r="I754" s="13">
        <f t="shared" ref="I754:T754" si="1081">-I648</f>
        <v>3</v>
      </c>
      <c r="J754" s="13">
        <f t="shared" si="1081"/>
        <v>3.3706384916583878</v>
      </c>
      <c r="K754" s="13">
        <f t="shared" si="1081"/>
        <v>3.6618386591887844</v>
      </c>
      <c r="L754" s="13">
        <f t="shared" si="1081"/>
        <v>3.9448932285511802</v>
      </c>
      <c r="M754" s="13">
        <f t="shared" si="1081"/>
        <v>4.2137840036361869</v>
      </c>
      <c r="N754" s="13">
        <f t="shared" si="1081"/>
        <v>4.4246430698987087</v>
      </c>
      <c r="O754" s="13">
        <f t="shared" si="1081"/>
        <v>4.6452927329747471</v>
      </c>
      <c r="P754" s="13">
        <f t="shared" si="1081"/>
        <v>4.8761212663465159</v>
      </c>
      <c r="Q754" s="13">
        <f t="shared" si="1081"/>
        <v>5.1175317432601162</v>
      </c>
      <c r="R754" s="13">
        <f t="shared" si="1081"/>
        <v>5.3676455995071271</v>
      </c>
      <c r="S754" s="13">
        <f t="shared" si="1081"/>
        <v>5.6266415737940711</v>
      </c>
      <c r="T754" s="13">
        <f t="shared" si="1081"/>
        <v>5.8971229115702153</v>
      </c>
      <c r="V754" s="1" t="s">
        <v>303</v>
      </c>
    </row>
    <row r="755" spans="2:22" outlineLevel="1" x14ac:dyDescent="0.2">
      <c r="B755" s="2"/>
      <c r="C755" s="61" t="s">
        <v>9</v>
      </c>
      <c r="I755" s="13">
        <f t="shared" ref="I755:T755" si="1082">-I649</f>
        <v>1</v>
      </c>
      <c r="J755" s="13">
        <f t="shared" si="1082"/>
        <v>1.1235461638861293</v>
      </c>
      <c r="K755" s="13">
        <f t="shared" si="1082"/>
        <v>1.2206128863962613</v>
      </c>
      <c r="L755" s="13">
        <f t="shared" si="1082"/>
        <v>1.3149644095170601</v>
      </c>
      <c r="M755" s="13">
        <f t="shared" si="1082"/>
        <v>1.4045946678787289</v>
      </c>
      <c r="N755" s="13">
        <f t="shared" si="1082"/>
        <v>1.4748810232995697</v>
      </c>
      <c r="O755" s="13">
        <f t="shared" si="1082"/>
        <v>1.5484309109915821</v>
      </c>
      <c r="P755" s="13">
        <f t="shared" si="1082"/>
        <v>1.6253737554488386</v>
      </c>
      <c r="Q755" s="13">
        <f t="shared" si="1082"/>
        <v>1.7058439144200388</v>
      </c>
      <c r="R755" s="13">
        <f t="shared" si="1082"/>
        <v>1.7892151998357089</v>
      </c>
      <c r="S755" s="13">
        <f t="shared" si="1082"/>
        <v>1.8755471912646904</v>
      </c>
      <c r="T755" s="13">
        <f t="shared" si="1082"/>
        <v>1.9657076371900719</v>
      </c>
      <c r="V755" s="1" t="s">
        <v>303</v>
      </c>
    </row>
    <row r="756" spans="2:22" outlineLevel="1" x14ac:dyDescent="0.2">
      <c r="B756" s="2"/>
      <c r="C756" s="61" t="s">
        <v>13</v>
      </c>
      <c r="I756" s="13">
        <f t="shared" ref="I756:T756" si="1083">-I656</f>
        <v>-2</v>
      </c>
      <c r="J756" s="13">
        <f t="shared" si="1083"/>
        <v>0</v>
      </c>
      <c r="K756" s="13">
        <f t="shared" si="1083"/>
        <v>0</v>
      </c>
      <c r="L756" s="13">
        <f t="shared" si="1083"/>
        <v>0</v>
      </c>
      <c r="M756" s="13">
        <f t="shared" si="1083"/>
        <v>0</v>
      </c>
      <c r="N756" s="13">
        <f t="shared" si="1083"/>
        <v>0</v>
      </c>
      <c r="O756" s="13">
        <f t="shared" si="1083"/>
        <v>0</v>
      </c>
      <c r="P756" s="13">
        <f t="shared" si="1083"/>
        <v>0</v>
      </c>
      <c r="Q756" s="13">
        <f t="shared" si="1083"/>
        <v>0</v>
      </c>
      <c r="R756" s="13">
        <f t="shared" si="1083"/>
        <v>0</v>
      </c>
      <c r="S756" s="13">
        <f t="shared" si="1083"/>
        <v>0</v>
      </c>
      <c r="T756" s="13">
        <f t="shared" si="1083"/>
        <v>0</v>
      </c>
    </row>
    <row r="757" spans="2:22" outlineLevel="1" x14ac:dyDescent="0.2">
      <c r="B757" s="2"/>
      <c r="C757" s="61" t="s">
        <v>14</v>
      </c>
      <c r="I757" s="13">
        <f t="shared" ref="I757:T757" si="1084">-I657</f>
        <v>-39</v>
      </c>
      <c r="J757" s="13">
        <f t="shared" si="1084"/>
        <v>-30.976167738340582</v>
      </c>
      <c r="K757" s="13">
        <f t="shared" si="1084"/>
        <v>-33.652297277944925</v>
      </c>
      <c r="L757" s="13">
        <f t="shared" si="1084"/>
        <v>-36.253568770385343</v>
      </c>
      <c r="M757" s="13">
        <f t="shared" si="1084"/>
        <v>-38.724674993416556</v>
      </c>
      <c r="N757" s="13">
        <f t="shared" si="1084"/>
        <v>-40.662469812369132</v>
      </c>
      <c r="O757" s="13">
        <f t="shared" si="1084"/>
        <v>-28.460160144025281</v>
      </c>
      <c r="P757" s="13">
        <f t="shared" si="1084"/>
        <v>-29.874369625149654</v>
      </c>
      <c r="Q757" s="13">
        <f t="shared" si="1084"/>
        <v>-31.353411147040312</v>
      </c>
      <c r="R757" s="13">
        <f t="shared" si="1084"/>
        <v>-32.885775372980326</v>
      </c>
      <c r="S757" s="13">
        <f t="shared" si="1084"/>
        <v>-34.472557375445007</v>
      </c>
      <c r="T757" s="13">
        <f t="shared" si="1084"/>
        <v>-36.129706371553524</v>
      </c>
      <c r="V757" s="1" t="s">
        <v>304</v>
      </c>
    </row>
    <row r="758" spans="2:22" outlineLevel="1" x14ac:dyDescent="0.2">
      <c r="C758" s="61" t="s">
        <v>957</v>
      </c>
      <c r="I758" s="21">
        <f t="shared" ref="I758:T758" si="1085">SUM(I709:I711)-SUM(H709:H711)</f>
        <v>1</v>
      </c>
      <c r="J758" s="21">
        <f t="shared" si="1085"/>
        <v>2.1002847860641971</v>
      </c>
      <c r="K758" s="21">
        <f t="shared" si="1085"/>
        <v>1.6501342826722478</v>
      </c>
      <c r="L758" s="21">
        <f t="shared" si="1085"/>
        <v>1.6039758930535761</v>
      </c>
      <c r="M758" s="21">
        <f t="shared" si="1085"/>
        <v>1.5237143921483707</v>
      </c>
      <c r="N758" s="21">
        <f t="shared" si="1085"/>
        <v>1.1948680421542903</v>
      </c>
      <c r="O758" s="21">
        <f t="shared" si="1085"/>
        <v>1.2503480907642164</v>
      </c>
      <c r="P758" s="21">
        <f t="shared" si="1085"/>
        <v>1.3080283557733559</v>
      </c>
      <c r="Q758" s="21">
        <f t="shared" si="1085"/>
        <v>1.3679927025104064</v>
      </c>
      <c r="R758" s="21">
        <f t="shared" si="1085"/>
        <v>1.4173118520663905</v>
      </c>
      <c r="S758" s="21">
        <f t="shared" si="1085"/>
        <v>1.4676438542926853</v>
      </c>
      <c r="T758" s="21">
        <f t="shared" si="1085"/>
        <v>1.5327275807314855</v>
      </c>
      <c r="V758" s="1" t="s">
        <v>248</v>
      </c>
    </row>
    <row r="759" spans="2:22" outlineLevel="1" x14ac:dyDescent="0.2">
      <c r="C759" s="61" t="s">
        <v>52</v>
      </c>
      <c r="I759" s="21">
        <f t="shared" ref="I759:T759" si="1086">-(I695-H695)</f>
        <v>113</v>
      </c>
      <c r="J759" s="21">
        <f t="shared" si="1086"/>
        <v>-11.613339405296145</v>
      </c>
      <c r="K759" s="21">
        <f t="shared" si="1086"/>
        <v>-9.1242719159524199</v>
      </c>
      <c r="L759" s="21">
        <f t="shared" si="1086"/>
        <v>-8.869043173355081</v>
      </c>
      <c r="M759" s="21">
        <f t="shared" si="1086"/>
        <v>-8.4252442859968824</v>
      </c>
      <c r="N759" s="21">
        <f t="shared" si="1086"/>
        <v>-6.6069174095590313</v>
      </c>
      <c r="O759" s="21">
        <f t="shared" si="1086"/>
        <v>-6.9136894430491509</v>
      </c>
      <c r="P759" s="21">
        <f t="shared" si="1086"/>
        <v>-7.2326273789821016</v>
      </c>
      <c r="Q759" s="21">
        <f t="shared" si="1086"/>
        <v>-7.5641949432928186</v>
      </c>
      <c r="R759" s="21">
        <f t="shared" si="1086"/>
        <v>-7.836900829072988</v>
      </c>
      <c r="S759" s="21">
        <f t="shared" si="1086"/>
        <v>-8.1152071943242561</v>
      </c>
      <c r="T759" s="21">
        <f t="shared" si="1086"/>
        <v>-8.4750819169858858</v>
      </c>
    </row>
    <row r="760" spans="2:22" outlineLevel="1" x14ac:dyDescent="0.2">
      <c r="C760" s="153" t="s">
        <v>257</v>
      </c>
    </row>
    <row r="761" spans="2:22" outlineLevel="1" x14ac:dyDescent="0.2">
      <c r="C761" s="61" t="s">
        <v>49</v>
      </c>
      <c r="I761" s="21">
        <f t="shared" ref="I761:T761" si="1087">-(I691-H691)</f>
        <v>1</v>
      </c>
      <c r="J761" s="21">
        <f t="shared" si="1087"/>
        <v>-0.99016184642518734</v>
      </c>
      <c r="K761" s="21">
        <f t="shared" si="1087"/>
        <v>-0.59711498790706941</v>
      </c>
      <c r="L761" s="21">
        <f t="shared" si="1087"/>
        <v>-0.62649130118239604</v>
      </c>
      <c r="M761" s="21">
        <f t="shared" si="1087"/>
        <v>-0.54900286785818242</v>
      </c>
      <c r="N761" s="21">
        <f t="shared" si="1087"/>
        <v>-0.41035826845773116</v>
      </c>
      <c r="O761" s="21">
        <f t="shared" si="1087"/>
        <v>-0.39322427086587108</v>
      </c>
      <c r="P761" s="21">
        <f t="shared" si="1087"/>
        <v>-0.32628767334766362</v>
      </c>
      <c r="Q761" s="21">
        <f t="shared" si="1087"/>
        <v>-0.34124577964121894</v>
      </c>
      <c r="R761" s="21">
        <f t="shared" si="1087"/>
        <v>-0.35354844149795994</v>
      </c>
      <c r="S761" s="21">
        <f t="shared" si="1087"/>
        <v>-0.36610375945330986</v>
      </c>
      <c r="T761" s="21">
        <f t="shared" si="1087"/>
        <v>-0.38233889501346763</v>
      </c>
    </row>
    <row r="762" spans="2:22" outlineLevel="1" x14ac:dyDescent="0.2">
      <c r="C762" s="61" t="s">
        <v>229</v>
      </c>
      <c r="I762" s="21">
        <f t="shared" ref="I762:T762" si="1088">-(I692-H692)</f>
        <v>15</v>
      </c>
      <c r="J762" s="21">
        <f t="shared" si="1088"/>
        <v>-4.9418465554451672</v>
      </c>
      <c r="K762" s="21">
        <f t="shared" si="1088"/>
        <v>-3.8826689004052852</v>
      </c>
      <c r="L762" s="21">
        <f t="shared" si="1088"/>
        <v>-3.7740609248319501</v>
      </c>
      <c r="M762" s="21">
        <f t="shared" si="1088"/>
        <v>-3.5852103344667583</v>
      </c>
      <c r="N762" s="21">
        <f t="shared" si="1088"/>
        <v>-2.8114542168336243</v>
      </c>
      <c r="O762" s="21">
        <f t="shared" si="1088"/>
        <v>-2.9419955076805095</v>
      </c>
      <c r="P762" s="21">
        <f t="shared" si="1088"/>
        <v>-3.0777137782902457</v>
      </c>
      <c r="Q762" s="21">
        <f t="shared" si="1088"/>
        <v>-3.2188063588480134</v>
      </c>
      <c r="R762" s="21">
        <f t="shared" si="1088"/>
        <v>-3.3348514166268046</v>
      </c>
      <c r="S762" s="21">
        <f t="shared" si="1088"/>
        <v>-3.453279657159257</v>
      </c>
      <c r="T762" s="21">
        <f t="shared" si="1088"/>
        <v>-3.6064178370152717</v>
      </c>
    </row>
    <row r="763" spans="2:22" outlineLevel="1" x14ac:dyDescent="0.2">
      <c r="C763" s="61" t="s">
        <v>67</v>
      </c>
      <c r="I763" s="21">
        <f t="shared" ref="I763:T763" si="1089">I715-H715</f>
        <v>12</v>
      </c>
      <c r="J763" s="21">
        <f t="shared" si="1089"/>
        <v>43.567121242708254</v>
      </c>
      <c r="K763" s="21">
        <f t="shared" si="1089"/>
        <v>26.273059467911025</v>
      </c>
      <c r="L763" s="21">
        <f t="shared" si="1089"/>
        <v>27.565617252025476</v>
      </c>
      <c r="M763" s="21">
        <f t="shared" si="1089"/>
        <v>24.156126185759973</v>
      </c>
      <c r="N763" s="21">
        <f t="shared" si="1089"/>
        <v>18.055763812140185</v>
      </c>
      <c r="O763" s="21">
        <f t="shared" si="1089"/>
        <v>17.30186791809831</v>
      </c>
      <c r="P763" s="21">
        <f t="shared" si="1089"/>
        <v>14.356657627297238</v>
      </c>
      <c r="Q763" s="21">
        <f t="shared" si="1089"/>
        <v>15.014814304213587</v>
      </c>
      <c r="R763" s="21">
        <f t="shared" si="1089"/>
        <v>15.556131425910337</v>
      </c>
      <c r="S763" s="21">
        <f t="shared" si="1089"/>
        <v>16.108565415945634</v>
      </c>
      <c r="T763" s="21">
        <f t="shared" si="1089"/>
        <v>16.822911380592586</v>
      </c>
    </row>
    <row r="764" spans="2:22" outlineLevel="1" x14ac:dyDescent="0.2">
      <c r="C764" s="61" t="s">
        <v>246</v>
      </c>
      <c r="I764" s="21">
        <f t="shared" ref="I764:T764" si="1090">-(I696-H696)</f>
        <v>-13</v>
      </c>
      <c r="J764" s="21">
        <f t="shared" si="1090"/>
        <v>-3.2122002610393565</v>
      </c>
      <c r="K764" s="21">
        <f t="shared" si="1090"/>
        <v>-2.5237347852634393</v>
      </c>
      <c r="L764" s="21">
        <f t="shared" si="1090"/>
        <v>-2.4531396011407658</v>
      </c>
      <c r="M764" s="21">
        <f t="shared" si="1090"/>
        <v>-2.3303867174033854</v>
      </c>
      <c r="N764" s="21">
        <f t="shared" si="1090"/>
        <v>-1.8274452409418629</v>
      </c>
      <c r="O764" s="21">
        <f t="shared" si="1090"/>
        <v>-1.912297079992328</v>
      </c>
      <c r="P764" s="21">
        <f t="shared" si="1090"/>
        <v>-2.000513955888664</v>
      </c>
      <c r="Q764" s="21">
        <f t="shared" si="1090"/>
        <v>-2.0922241332512002</v>
      </c>
      <c r="R764" s="21">
        <f t="shared" si="1090"/>
        <v>-2.1676534208074258</v>
      </c>
      <c r="S764" s="21">
        <f t="shared" si="1090"/>
        <v>-2.2446317771535149</v>
      </c>
      <c r="T764" s="21">
        <f t="shared" si="1090"/>
        <v>-2.3441715940599224</v>
      </c>
    </row>
    <row r="765" spans="2:22" outlineLevel="1" x14ac:dyDescent="0.2">
      <c r="C765" s="61" t="s">
        <v>62</v>
      </c>
      <c r="I765" s="21">
        <f t="shared" ref="I765:T765" si="1091">(I717-H717)</f>
        <v>1</v>
      </c>
      <c r="J765" s="21">
        <f t="shared" si="1091"/>
        <v>0.74127698331677561</v>
      </c>
      <c r="K765" s="21">
        <f t="shared" si="1091"/>
        <v>0.58240033506079314</v>
      </c>
      <c r="L765" s="21">
        <f t="shared" si="1091"/>
        <v>0.56610913872479163</v>
      </c>
      <c r="M765" s="21">
        <f t="shared" si="1091"/>
        <v>0.53778155017001339</v>
      </c>
      <c r="N765" s="21">
        <f t="shared" si="1091"/>
        <v>0.42171813252504364</v>
      </c>
      <c r="O765" s="21">
        <f t="shared" si="1091"/>
        <v>0.44129932615207679</v>
      </c>
      <c r="P765" s="21">
        <f t="shared" si="1091"/>
        <v>0.46165706674353757</v>
      </c>
      <c r="Q765" s="21">
        <f t="shared" si="1091"/>
        <v>0.48282095382720058</v>
      </c>
      <c r="R765" s="21">
        <f t="shared" si="1091"/>
        <v>0.50022771249402176</v>
      </c>
      <c r="S765" s="21">
        <f t="shared" si="1091"/>
        <v>0.51799194857388819</v>
      </c>
      <c r="T765" s="21">
        <f t="shared" si="1091"/>
        <v>0.54096267555228827</v>
      </c>
    </row>
    <row r="766" spans="2:22" outlineLevel="1" x14ac:dyDescent="0.2">
      <c r="C766" s="61" t="s">
        <v>68</v>
      </c>
      <c r="I766" s="21">
        <f t="shared" ref="I766:T766" si="1092">(I718-H718)</f>
        <v>7</v>
      </c>
      <c r="J766" s="21">
        <f t="shared" si="1092"/>
        <v>2.8415617693809736</v>
      </c>
      <c r="K766" s="21">
        <f t="shared" si="1092"/>
        <v>2.232534617733041</v>
      </c>
      <c r="L766" s="21">
        <f t="shared" si="1092"/>
        <v>2.1700850317783669</v>
      </c>
      <c r="M766" s="21">
        <f t="shared" si="1092"/>
        <v>2.0614959423183876</v>
      </c>
      <c r="N766" s="21">
        <f t="shared" si="1092"/>
        <v>1.616586174679334</v>
      </c>
      <c r="O766" s="21">
        <f t="shared" si="1092"/>
        <v>1.6916474169162896</v>
      </c>
      <c r="P766" s="21">
        <f t="shared" si="1092"/>
        <v>1.7696854225168934</v>
      </c>
      <c r="Q766" s="21">
        <f t="shared" si="1092"/>
        <v>1.850813656337607</v>
      </c>
      <c r="R766" s="21">
        <f t="shared" si="1092"/>
        <v>1.9175395645604141</v>
      </c>
      <c r="S766" s="21">
        <f t="shared" si="1092"/>
        <v>1.9856358028665753</v>
      </c>
      <c r="T766" s="21">
        <f t="shared" si="1092"/>
        <v>2.0736902562837756</v>
      </c>
    </row>
    <row r="767" spans="2:22" outlineLevel="1" x14ac:dyDescent="0.2">
      <c r="C767" s="61" t="s">
        <v>253</v>
      </c>
      <c r="I767" s="21">
        <f t="shared" ref="I767:T767" si="1093">(I719-H719)</f>
        <v>16</v>
      </c>
      <c r="J767" s="21">
        <f t="shared" si="1093"/>
        <v>7.0421313415093607</v>
      </c>
      <c r="K767" s="21">
        <f t="shared" si="1093"/>
        <v>5.532803183077533</v>
      </c>
      <c r="L767" s="21">
        <f t="shared" si="1093"/>
        <v>5.3780368178855298</v>
      </c>
      <c r="M767" s="21">
        <f t="shared" si="1093"/>
        <v>5.1089247266151148</v>
      </c>
      <c r="N767" s="21">
        <f t="shared" si="1093"/>
        <v>4.0063222589879359</v>
      </c>
      <c r="O767" s="21">
        <f t="shared" si="1093"/>
        <v>4.1923435984447082</v>
      </c>
      <c r="P767" s="21">
        <f t="shared" si="1093"/>
        <v>4.3857421340636051</v>
      </c>
      <c r="Q767" s="21">
        <f t="shared" si="1093"/>
        <v>4.5867990613584055</v>
      </c>
      <c r="R767" s="21">
        <f t="shared" si="1093"/>
        <v>4.7521632686932094</v>
      </c>
      <c r="S767" s="21">
        <f t="shared" si="1093"/>
        <v>4.9209235114519458</v>
      </c>
      <c r="T767" s="21">
        <f t="shared" si="1093"/>
        <v>5.1391454177467466</v>
      </c>
    </row>
    <row r="768" spans="2:22" outlineLevel="1" x14ac:dyDescent="0.2">
      <c r="B768" s="4" t="s">
        <v>258</v>
      </c>
      <c r="C768" s="38"/>
      <c r="D768" s="47"/>
      <c r="E768" s="48"/>
      <c r="F768" s="48"/>
      <c r="G768" s="48"/>
      <c r="H768" s="48"/>
      <c r="I768" s="23">
        <f t="shared" ref="I768:T768" si="1094">SUM(I750:I767)</f>
        <v>562</v>
      </c>
      <c r="J768" s="23">
        <f t="shared" si="1094"/>
        <v>497.67643458308737</v>
      </c>
      <c r="K768" s="23">
        <f t="shared" si="1094"/>
        <v>552.35542365013112</v>
      </c>
      <c r="L768" s="23">
        <f t="shared" si="1094"/>
        <v>596.28153162803153</v>
      </c>
      <c r="M768" s="23">
        <f t="shared" si="1094"/>
        <v>638.1458294350042</v>
      </c>
      <c r="N768" s="23">
        <f t="shared" si="1094"/>
        <v>675.92120070852991</v>
      </c>
      <c r="O768" s="23">
        <f t="shared" si="1094"/>
        <v>725.55767719237906</v>
      </c>
      <c r="P768" s="23">
        <f t="shared" si="1094"/>
        <v>779.55483875993559</v>
      </c>
      <c r="Q768" s="23">
        <f t="shared" si="1094"/>
        <v>842.04720605205023</v>
      </c>
      <c r="R768" s="23">
        <f t="shared" si="1094"/>
        <v>909.85481091625661</v>
      </c>
      <c r="S768" s="23">
        <f t="shared" si="1094"/>
        <v>986.68946520998861</v>
      </c>
      <c r="T768" s="23">
        <f t="shared" si="1094"/>
        <v>1066.9821360603389</v>
      </c>
    </row>
    <row r="769" spans="2:20" outlineLevel="1" x14ac:dyDescent="0.2">
      <c r="J769" s="13"/>
      <c r="K769" s="13"/>
      <c r="L769" s="13"/>
      <c r="M769" s="13"/>
      <c r="N769" s="13"/>
      <c r="O769" s="13"/>
      <c r="P769" s="13"/>
      <c r="Q769" s="13"/>
      <c r="R769" s="13"/>
      <c r="S769" s="13"/>
      <c r="T769" s="13"/>
    </row>
    <row r="770" spans="2:20" outlineLevel="1" x14ac:dyDescent="0.2">
      <c r="B770" s="2" t="s">
        <v>261</v>
      </c>
      <c r="J770" s="13"/>
      <c r="K770" s="13"/>
      <c r="L770" s="13"/>
      <c r="M770" s="13"/>
      <c r="N770" s="13"/>
      <c r="O770" s="13"/>
      <c r="P770" s="13"/>
      <c r="Q770" s="13"/>
      <c r="R770" s="13"/>
      <c r="S770" s="13"/>
      <c r="T770" s="13"/>
    </row>
    <row r="771" spans="2:20" outlineLevel="1" x14ac:dyDescent="0.2">
      <c r="C771" s="1" t="s">
        <v>259</v>
      </c>
      <c r="H771" s="13"/>
      <c r="I771" s="13">
        <f t="shared" ref="I771:T771" si="1095">-I423</f>
        <v>-237</v>
      </c>
      <c r="J771" s="13">
        <f t="shared" si="1095"/>
        <v>-258.13473115283819</v>
      </c>
      <c r="K771" s="13">
        <f t="shared" si="1095"/>
        <v>-274.82709443655023</v>
      </c>
      <c r="L771" s="13">
        <f t="shared" si="1095"/>
        <v>-290.02855016308274</v>
      </c>
      <c r="M771" s="13">
        <f t="shared" si="1095"/>
        <v>-296.88917494952693</v>
      </c>
      <c r="N771" s="13">
        <f t="shared" si="1095"/>
        <v>-298.19144529070701</v>
      </c>
      <c r="O771" s="13">
        <f t="shared" si="1095"/>
        <v>-298.83168151226545</v>
      </c>
      <c r="P771" s="13">
        <f t="shared" si="1095"/>
        <v>-298.74369625149654</v>
      </c>
      <c r="Q771" s="13">
        <f t="shared" si="1095"/>
        <v>-297.85740589688294</v>
      </c>
      <c r="R771" s="13">
        <f t="shared" si="1095"/>
        <v>-295.97197835682294</v>
      </c>
      <c r="S771" s="13">
        <f t="shared" si="1095"/>
        <v>-310.25301637900503</v>
      </c>
      <c r="T771" s="13">
        <f t="shared" si="1095"/>
        <v>-325.16735734398168</v>
      </c>
    </row>
    <row r="772" spans="2:20" outlineLevel="1" x14ac:dyDescent="0.2">
      <c r="C772" s="1" t="s">
        <v>88</v>
      </c>
      <c r="H772" s="13"/>
      <c r="I772" s="13">
        <f t="shared" ref="I772:T772" si="1096">-I431</f>
        <v>-94</v>
      </c>
      <c r="J772" s="13">
        <f t="shared" si="1096"/>
        <v>-61.952335476681164</v>
      </c>
      <c r="K772" s="13">
        <f t="shared" si="1096"/>
        <v>-67.30459455588985</v>
      </c>
      <c r="L772" s="13">
        <f t="shared" si="1096"/>
        <v>-72.507137540770685</v>
      </c>
      <c r="M772" s="13">
        <f t="shared" si="1096"/>
        <v>-77.449349986833113</v>
      </c>
      <c r="N772" s="13">
        <f t="shared" si="1096"/>
        <v>-81.324939624738263</v>
      </c>
      <c r="O772" s="13">
        <f t="shared" si="1096"/>
        <v>-85.380480432075842</v>
      </c>
      <c r="P772" s="13">
        <f t="shared" si="1096"/>
        <v>-89.623108875448949</v>
      </c>
      <c r="Q772" s="13">
        <f t="shared" si="1096"/>
        <v>-94.060233441120928</v>
      </c>
      <c r="R772" s="13">
        <f t="shared" si="1096"/>
        <v>-98.657326118940986</v>
      </c>
      <c r="S772" s="13">
        <f t="shared" si="1096"/>
        <v>-103.41767212633502</v>
      </c>
      <c r="T772" s="13">
        <f t="shared" si="1096"/>
        <v>-108.38911911466056</v>
      </c>
    </row>
    <row r="773" spans="2:20" outlineLevel="1" x14ac:dyDescent="0.2">
      <c r="C773" s="1" t="s">
        <v>260</v>
      </c>
      <c r="H773" s="13"/>
      <c r="I773" s="13"/>
      <c r="J773" s="88">
        <v>-141</v>
      </c>
      <c r="K773" s="246"/>
      <c r="L773" s="246"/>
      <c r="M773" s="246"/>
      <c r="N773" s="246"/>
      <c r="O773" s="246"/>
      <c r="P773" s="246"/>
      <c r="Q773" s="246"/>
      <c r="R773" s="246"/>
      <c r="S773" s="246"/>
      <c r="T773" s="246"/>
    </row>
    <row r="774" spans="2:20" outlineLevel="1" x14ac:dyDescent="0.2">
      <c r="B774" s="4" t="s">
        <v>261</v>
      </c>
      <c r="C774" s="38"/>
      <c r="D774" s="47"/>
      <c r="E774" s="48"/>
      <c r="F774" s="48"/>
      <c r="G774" s="48"/>
      <c r="H774" s="23"/>
      <c r="I774" s="23">
        <f t="shared" ref="I774" si="1097">SUM(I771:I773)</f>
        <v>-331</v>
      </c>
      <c r="J774" s="23">
        <f>SUM(J771:J773)</f>
        <v>-461.08706662951937</v>
      </c>
      <c r="K774" s="23">
        <f t="shared" ref="K774:O774" si="1098">SUM(K771:K773)</f>
        <v>-342.1316889924401</v>
      </c>
      <c r="L774" s="23">
        <f t="shared" si="1098"/>
        <v>-362.53568770385345</v>
      </c>
      <c r="M774" s="23">
        <f t="shared" si="1098"/>
        <v>-374.33852493636005</v>
      </c>
      <c r="N774" s="23">
        <f t="shared" si="1098"/>
        <v>-379.51638491544526</v>
      </c>
      <c r="O774" s="23">
        <f t="shared" si="1098"/>
        <v>-384.21216194434129</v>
      </c>
      <c r="P774" s="23">
        <f t="shared" ref="P774:T774" si="1099">SUM(P771:P773)</f>
        <v>-388.36680512694551</v>
      </c>
      <c r="Q774" s="23">
        <f t="shared" si="1099"/>
        <v>-391.91763933800388</v>
      </c>
      <c r="R774" s="23">
        <f t="shared" si="1099"/>
        <v>-394.62930447576394</v>
      </c>
      <c r="S774" s="23">
        <f t="shared" si="1099"/>
        <v>-413.67068850534008</v>
      </c>
      <c r="T774" s="23">
        <f t="shared" si="1099"/>
        <v>-433.55647645864224</v>
      </c>
    </row>
    <row r="775" spans="2:20" outlineLevel="1" x14ac:dyDescent="0.2">
      <c r="H775" s="13"/>
      <c r="I775" s="13"/>
      <c r="J775" s="13"/>
      <c r="K775" s="13"/>
      <c r="L775" s="13"/>
      <c r="M775" s="13"/>
      <c r="N775" s="13"/>
      <c r="O775" s="13"/>
      <c r="P775" s="13"/>
      <c r="Q775" s="13"/>
      <c r="R775" s="13"/>
      <c r="S775" s="13"/>
      <c r="T775" s="13"/>
    </row>
    <row r="776" spans="2:20" outlineLevel="1" x14ac:dyDescent="0.2">
      <c r="H776" s="13"/>
      <c r="I776" s="13"/>
      <c r="J776" s="13"/>
      <c r="K776" s="13"/>
      <c r="L776" s="13"/>
      <c r="M776" s="13"/>
      <c r="N776" s="13"/>
      <c r="O776" s="13"/>
      <c r="P776" s="13"/>
      <c r="Q776" s="13"/>
      <c r="R776" s="13"/>
      <c r="S776" s="13"/>
      <c r="T776" s="13"/>
    </row>
    <row r="777" spans="2:20" outlineLevel="1" x14ac:dyDescent="0.2">
      <c r="B777" s="2" t="s">
        <v>266</v>
      </c>
      <c r="H777" s="13"/>
      <c r="I777" s="13"/>
      <c r="J777" s="13"/>
      <c r="K777" s="13"/>
      <c r="L777" s="13"/>
      <c r="M777" s="13"/>
      <c r="N777" s="13"/>
      <c r="O777" s="13"/>
      <c r="P777" s="13"/>
      <c r="Q777" s="13"/>
      <c r="R777" s="13"/>
      <c r="S777" s="13"/>
      <c r="T777" s="13"/>
    </row>
    <row r="778" spans="2:20" outlineLevel="1" x14ac:dyDescent="0.2">
      <c r="C778" s="1" t="s">
        <v>279</v>
      </c>
      <c r="H778" s="13"/>
      <c r="I778" s="13">
        <f t="shared" ref="I778:T778" si="1100">I494</f>
        <v>-4</v>
      </c>
      <c r="J778" s="13">
        <f t="shared" si="1100"/>
        <v>-565</v>
      </c>
      <c r="K778" s="13">
        <f t="shared" si="1100"/>
        <v>0</v>
      </c>
      <c r="L778" s="13">
        <f t="shared" si="1100"/>
        <v>0</v>
      </c>
      <c r="M778" s="13">
        <f t="shared" si="1100"/>
        <v>0</v>
      </c>
      <c r="N778" s="13">
        <f t="shared" si="1100"/>
        <v>0</v>
      </c>
      <c r="O778" s="13">
        <f t="shared" si="1100"/>
        <v>0</v>
      </c>
      <c r="P778" s="13">
        <f t="shared" si="1100"/>
        <v>0</v>
      </c>
      <c r="Q778" s="13">
        <f t="shared" si="1100"/>
        <v>0</v>
      </c>
      <c r="R778" s="13">
        <f t="shared" si="1100"/>
        <v>0</v>
      </c>
      <c r="S778" s="13">
        <f t="shared" si="1100"/>
        <v>0</v>
      </c>
      <c r="T778" s="13">
        <f t="shared" si="1100"/>
        <v>0</v>
      </c>
    </row>
    <row r="779" spans="2:20" outlineLevel="1" x14ac:dyDescent="0.2">
      <c r="C779" s="1" t="s">
        <v>265</v>
      </c>
      <c r="I779" s="246"/>
      <c r="J779" s="246"/>
      <c r="K779" s="246"/>
      <c r="L779" s="246"/>
      <c r="M779" s="246"/>
      <c r="N779" s="246"/>
      <c r="O779" s="246"/>
      <c r="P779" s="246"/>
      <c r="Q779" s="246"/>
      <c r="R779" s="246"/>
      <c r="S779" s="246"/>
      <c r="T779" s="246"/>
    </row>
    <row r="780" spans="2:20" outlineLevel="1" x14ac:dyDescent="0.2">
      <c r="C780" s="1" t="s">
        <v>264</v>
      </c>
      <c r="I780" s="13">
        <f t="shared" ref="I780:T780" si="1101">I509</f>
        <v>0</v>
      </c>
      <c r="J780" s="13">
        <f t="shared" si="1101"/>
        <v>0</v>
      </c>
      <c r="K780" s="13">
        <f t="shared" si="1101"/>
        <v>0</v>
      </c>
      <c r="L780" s="13">
        <f t="shared" si="1101"/>
        <v>0</v>
      </c>
      <c r="M780" s="13">
        <f t="shared" si="1101"/>
        <v>0</v>
      </c>
      <c r="N780" s="13">
        <f t="shared" si="1101"/>
        <v>0</v>
      </c>
      <c r="O780" s="13">
        <f t="shared" si="1101"/>
        <v>0</v>
      </c>
      <c r="P780" s="13">
        <f t="shared" si="1101"/>
        <v>0</v>
      </c>
      <c r="Q780" s="13">
        <f t="shared" si="1101"/>
        <v>0</v>
      </c>
      <c r="R780" s="13">
        <f t="shared" si="1101"/>
        <v>0</v>
      </c>
      <c r="S780" s="13">
        <f t="shared" si="1101"/>
        <v>0</v>
      </c>
      <c r="T780" s="13">
        <f t="shared" si="1101"/>
        <v>0</v>
      </c>
    </row>
    <row r="781" spans="2:20" outlineLevel="1" x14ac:dyDescent="0.2">
      <c r="C781" s="1" t="s">
        <v>263</v>
      </c>
      <c r="I781" s="13">
        <f t="shared" ref="I781:T781" si="1102">I510</f>
        <v>0</v>
      </c>
      <c r="J781" s="13">
        <f t="shared" si="1102"/>
        <v>0</v>
      </c>
      <c r="K781" s="13">
        <f t="shared" si="1102"/>
        <v>0</v>
      </c>
      <c r="L781" s="13">
        <f t="shared" si="1102"/>
        <v>0</v>
      </c>
      <c r="M781" s="13">
        <f t="shared" si="1102"/>
        <v>0</v>
      </c>
      <c r="N781" s="13">
        <f t="shared" si="1102"/>
        <v>0</v>
      </c>
      <c r="O781" s="13">
        <f t="shared" si="1102"/>
        <v>0</v>
      </c>
      <c r="P781" s="13">
        <f t="shared" si="1102"/>
        <v>0</v>
      </c>
      <c r="Q781" s="13">
        <f t="shared" si="1102"/>
        <v>0</v>
      </c>
      <c r="R781" s="13">
        <f t="shared" si="1102"/>
        <v>0</v>
      </c>
      <c r="S781" s="13">
        <f t="shared" si="1102"/>
        <v>0</v>
      </c>
      <c r="T781" s="13">
        <f t="shared" si="1102"/>
        <v>0</v>
      </c>
    </row>
    <row r="782" spans="2:20" outlineLevel="1" x14ac:dyDescent="0.2">
      <c r="C782" s="1" t="s">
        <v>262</v>
      </c>
      <c r="I782" s="13">
        <f t="shared" ref="I782:T782" si="1103">I511</f>
        <v>0</v>
      </c>
      <c r="J782" s="13">
        <f t="shared" si="1103"/>
        <v>0</v>
      </c>
      <c r="K782" s="13">
        <f t="shared" si="1103"/>
        <v>0</v>
      </c>
      <c r="L782" s="13">
        <f t="shared" si="1103"/>
        <v>0</v>
      </c>
      <c r="M782" s="13">
        <f t="shared" si="1103"/>
        <v>0</v>
      </c>
      <c r="N782" s="13">
        <f t="shared" si="1103"/>
        <v>0</v>
      </c>
      <c r="O782" s="13">
        <f t="shared" si="1103"/>
        <v>0</v>
      </c>
      <c r="P782" s="13">
        <f t="shared" si="1103"/>
        <v>0</v>
      </c>
      <c r="Q782" s="13">
        <f t="shared" si="1103"/>
        <v>0</v>
      </c>
      <c r="R782" s="13">
        <f t="shared" si="1103"/>
        <v>0</v>
      </c>
      <c r="S782" s="13">
        <f t="shared" si="1103"/>
        <v>0</v>
      </c>
      <c r="T782" s="13">
        <f t="shared" si="1103"/>
        <v>0</v>
      </c>
    </row>
    <row r="783" spans="2:20" outlineLevel="1" x14ac:dyDescent="0.2">
      <c r="C783" s="1" t="s">
        <v>27</v>
      </c>
      <c r="I783" s="13">
        <f t="shared" ref="I783:T783" si="1104">-(I694-H694)-(I693-H693)</f>
        <v>-371</v>
      </c>
      <c r="J783" s="13">
        <f t="shared" si="1104"/>
        <v>362</v>
      </c>
      <c r="K783" s="13">
        <f t="shared" si="1104"/>
        <v>0</v>
      </c>
      <c r="L783" s="13">
        <f t="shared" si="1104"/>
        <v>0</v>
      </c>
      <c r="M783" s="13">
        <f t="shared" si="1104"/>
        <v>0</v>
      </c>
      <c r="N783" s="13">
        <f t="shared" si="1104"/>
        <v>0</v>
      </c>
      <c r="O783" s="13">
        <f t="shared" si="1104"/>
        <v>0</v>
      </c>
      <c r="P783" s="13">
        <f t="shared" si="1104"/>
        <v>0</v>
      </c>
      <c r="Q783" s="13">
        <f t="shared" si="1104"/>
        <v>0</v>
      </c>
      <c r="R783" s="13">
        <f t="shared" si="1104"/>
        <v>0</v>
      </c>
      <c r="S783" s="13">
        <f t="shared" si="1104"/>
        <v>0</v>
      </c>
      <c r="T783" s="13">
        <f t="shared" si="1104"/>
        <v>0</v>
      </c>
    </row>
    <row r="784" spans="2:20" outlineLevel="1" x14ac:dyDescent="0.2">
      <c r="C784" s="1" t="s">
        <v>1033</v>
      </c>
      <c r="I784" s="13"/>
      <c r="J784" s="13">
        <f>M389</f>
        <v>138.4</v>
      </c>
      <c r="K784" s="13"/>
      <c r="L784" s="13"/>
      <c r="M784" s="13"/>
      <c r="N784" s="13"/>
      <c r="O784" s="13"/>
      <c r="P784" s="13"/>
      <c r="Q784" s="13"/>
      <c r="R784" s="13"/>
      <c r="S784" s="13"/>
      <c r="T784" s="13"/>
    </row>
    <row r="785" spans="1:20" outlineLevel="1" x14ac:dyDescent="0.2">
      <c r="B785" s="4" t="s">
        <v>266</v>
      </c>
      <c r="C785" s="38"/>
      <c r="D785" s="47"/>
      <c r="E785" s="48"/>
      <c r="F785" s="48"/>
      <c r="G785" s="48"/>
      <c r="H785" s="48"/>
      <c r="I785" s="23">
        <f>SUM(I778:I784)</f>
        <v>-375</v>
      </c>
      <c r="J785" s="23">
        <f t="shared" ref="J785:T785" si="1105">SUM(J778:J784)</f>
        <v>-64.599999999999994</v>
      </c>
      <c r="K785" s="23">
        <f t="shared" si="1105"/>
        <v>0</v>
      </c>
      <c r="L785" s="23">
        <f t="shared" si="1105"/>
        <v>0</v>
      </c>
      <c r="M785" s="23">
        <f t="shared" si="1105"/>
        <v>0</v>
      </c>
      <c r="N785" s="23">
        <f t="shared" si="1105"/>
        <v>0</v>
      </c>
      <c r="O785" s="23">
        <f t="shared" si="1105"/>
        <v>0</v>
      </c>
      <c r="P785" s="23">
        <f t="shared" si="1105"/>
        <v>0</v>
      </c>
      <c r="Q785" s="23">
        <f t="shared" si="1105"/>
        <v>0</v>
      </c>
      <c r="R785" s="23">
        <f t="shared" si="1105"/>
        <v>0</v>
      </c>
      <c r="S785" s="23">
        <f t="shared" si="1105"/>
        <v>0</v>
      </c>
      <c r="T785" s="23">
        <f t="shared" si="1105"/>
        <v>0</v>
      </c>
    </row>
    <row r="786" spans="1:20" outlineLevel="1" x14ac:dyDescent="0.2"/>
    <row r="787" spans="1:20" outlineLevel="1" x14ac:dyDescent="0.2">
      <c r="B787" s="1" t="s">
        <v>267</v>
      </c>
      <c r="I787" s="13">
        <f>Inputs!I149</f>
        <v>-12</v>
      </c>
      <c r="J787" s="582">
        <v>9</v>
      </c>
      <c r="K787" s="339"/>
      <c r="L787" s="339"/>
      <c r="M787" s="339"/>
      <c r="N787" s="339"/>
      <c r="O787" s="339"/>
      <c r="P787" s="339"/>
      <c r="Q787" s="339"/>
      <c r="R787" s="339"/>
      <c r="S787" s="339"/>
      <c r="T787" s="339"/>
    </row>
    <row r="788" spans="1:20" outlineLevel="1" x14ac:dyDescent="0.2"/>
    <row r="789" spans="1:20" ht="13.5" outlineLevel="1" thickBot="1" x14ac:dyDescent="0.25">
      <c r="B789" s="5" t="s">
        <v>268</v>
      </c>
      <c r="C789" s="55"/>
      <c r="D789" s="54"/>
      <c r="E789" s="90"/>
      <c r="F789" s="90"/>
      <c r="G789" s="90"/>
      <c r="H789" s="90"/>
      <c r="I789" s="25">
        <f>I768+I774+I785+I787</f>
        <v>-156</v>
      </c>
      <c r="J789" s="25">
        <f>J768+J774+J785+J787</f>
        <v>-19.010632046431994</v>
      </c>
      <c r="K789" s="25">
        <f t="shared" ref="K789:O789" si="1106">K768+K774+K785+K787</f>
        <v>210.22373465769101</v>
      </c>
      <c r="L789" s="25">
        <f t="shared" si="1106"/>
        <v>233.74584392417808</v>
      </c>
      <c r="M789" s="25">
        <f t="shared" si="1106"/>
        <v>263.80730449864416</v>
      </c>
      <c r="N789" s="25">
        <f t="shared" si="1106"/>
        <v>296.40481579308465</v>
      </c>
      <c r="O789" s="25">
        <f t="shared" si="1106"/>
        <v>341.34551524803777</v>
      </c>
      <c r="P789" s="25">
        <f t="shared" ref="P789:T789" si="1107">P768+P774+P785+P787</f>
        <v>391.18803363299008</v>
      </c>
      <c r="Q789" s="25">
        <f t="shared" si="1107"/>
        <v>450.12956671404635</v>
      </c>
      <c r="R789" s="25">
        <f t="shared" si="1107"/>
        <v>515.22550644049261</v>
      </c>
      <c r="S789" s="25">
        <f t="shared" si="1107"/>
        <v>573.01877670464853</v>
      </c>
      <c r="T789" s="25">
        <f t="shared" si="1107"/>
        <v>633.42565960169668</v>
      </c>
    </row>
    <row r="790" spans="1:20" ht="13.5" outlineLevel="1" thickTop="1" x14ac:dyDescent="0.2"/>
    <row r="791" spans="1:20" outlineLevel="1" x14ac:dyDescent="0.2">
      <c r="B791" s="37" t="s">
        <v>272</v>
      </c>
      <c r="C791" s="6"/>
    </row>
    <row r="792" spans="1:20" outlineLevel="1" x14ac:dyDescent="0.2">
      <c r="C792" s="1" t="s">
        <v>220</v>
      </c>
      <c r="H792" s="13">
        <f t="shared" ref="H792:T792" si="1108">H716</f>
        <v>83</v>
      </c>
      <c r="I792" s="13">
        <f t="shared" si="1108"/>
        <v>669</v>
      </c>
      <c r="J792" s="13">
        <f t="shared" si="1108"/>
        <v>91</v>
      </c>
      <c r="K792" s="13">
        <f t="shared" si="1108"/>
        <v>91</v>
      </c>
      <c r="L792" s="13">
        <f t="shared" si="1108"/>
        <v>91</v>
      </c>
      <c r="M792" s="13">
        <f t="shared" si="1108"/>
        <v>91</v>
      </c>
      <c r="N792" s="13">
        <f t="shared" si="1108"/>
        <v>91</v>
      </c>
      <c r="O792" s="13">
        <f t="shared" si="1108"/>
        <v>91</v>
      </c>
      <c r="P792" s="13">
        <f t="shared" si="1108"/>
        <v>91</v>
      </c>
      <c r="Q792" s="13">
        <f t="shared" si="1108"/>
        <v>91</v>
      </c>
      <c r="R792" s="13">
        <f t="shared" si="1108"/>
        <v>91</v>
      </c>
      <c r="S792" s="13">
        <f t="shared" si="1108"/>
        <v>91</v>
      </c>
      <c r="T792" s="13">
        <f t="shared" si="1108"/>
        <v>91</v>
      </c>
    </row>
    <row r="793" spans="1:20" outlineLevel="1" x14ac:dyDescent="0.2">
      <c r="C793" s="1" t="s">
        <v>219</v>
      </c>
      <c r="H793" s="13">
        <f t="shared" ref="H793:T793" si="1109">H708</f>
        <v>815</v>
      </c>
      <c r="I793" s="13">
        <f t="shared" si="1109"/>
        <v>225</v>
      </c>
      <c r="J793" s="13">
        <f t="shared" si="1109"/>
        <v>238</v>
      </c>
      <c r="K793" s="13">
        <f t="shared" si="1109"/>
        <v>238</v>
      </c>
      <c r="L793" s="13">
        <f t="shared" si="1109"/>
        <v>238</v>
      </c>
      <c r="M793" s="13">
        <f t="shared" si="1109"/>
        <v>238</v>
      </c>
      <c r="N793" s="13">
        <f t="shared" si="1109"/>
        <v>238</v>
      </c>
      <c r="O793" s="13">
        <f t="shared" si="1109"/>
        <v>238</v>
      </c>
      <c r="P793" s="13">
        <f t="shared" si="1109"/>
        <v>238</v>
      </c>
      <c r="Q793" s="13">
        <f t="shared" si="1109"/>
        <v>238</v>
      </c>
      <c r="R793" s="13">
        <f t="shared" si="1109"/>
        <v>238</v>
      </c>
      <c r="S793" s="13">
        <f t="shared" si="1109"/>
        <v>238</v>
      </c>
      <c r="T793" s="13">
        <f t="shared" si="1109"/>
        <v>238</v>
      </c>
    </row>
    <row r="794" spans="1:20" outlineLevel="1" x14ac:dyDescent="0.2">
      <c r="A794" s="2"/>
      <c r="B794" s="4"/>
      <c r="C794" s="4" t="s">
        <v>273</v>
      </c>
      <c r="D794" s="45"/>
      <c r="E794" s="148"/>
      <c r="F794" s="148"/>
      <c r="G794" s="148"/>
      <c r="H794" s="23">
        <f>SUM(H792:H793)</f>
        <v>898</v>
      </c>
      <c r="I794" s="23">
        <f>SUM(I792:I793)</f>
        <v>894</v>
      </c>
      <c r="J794" s="23">
        <f>SUM(J792:J793)</f>
        <v>329</v>
      </c>
      <c r="K794" s="23">
        <f t="shared" ref="K794:O794" si="1110">SUM(K792:K793)</f>
        <v>329</v>
      </c>
      <c r="L794" s="23">
        <f t="shared" si="1110"/>
        <v>329</v>
      </c>
      <c r="M794" s="23">
        <f t="shared" si="1110"/>
        <v>329</v>
      </c>
      <c r="N794" s="23">
        <f t="shared" si="1110"/>
        <v>329</v>
      </c>
      <c r="O794" s="23">
        <f t="shared" si="1110"/>
        <v>329</v>
      </c>
      <c r="P794" s="23">
        <f t="shared" ref="P794:T794" si="1111">SUM(P792:P793)</f>
        <v>329</v>
      </c>
      <c r="Q794" s="23">
        <f t="shared" si="1111"/>
        <v>329</v>
      </c>
      <c r="R794" s="23">
        <f t="shared" si="1111"/>
        <v>329</v>
      </c>
      <c r="S794" s="23">
        <f t="shared" si="1111"/>
        <v>329</v>
      </c>
      <c r="T794" s="23">
        <f t="shared" si="1111"/>
        <v>329</v>
      </c>
    </row>
    <row r="795" spans="1:20" outlineLevel="1" x14ac:dyDescent="0.2">
      <c r="C795" s="1" t="s">
        <v>274</v>
      </c>
      <c r="H795" s="13">
        <f t="shared" ref="H795:T795" si="1112">-H697</f>
        <v>-425</v>
      </c>
      <c r="I795" s="13">
        <f t="shared" si="1112"/>
        <v>-674</v>
      </c>
      <c r="J795" s="13">
        <f t="shared" si="1112"/>
        <v>-654.98936795356803</v>
      </c>
      <c r="K795" s="13">
        <f t="shared" si="1112"/>
        <v>-865.21310261125905</v>
      </c>
      <c r="L795" s="13">
        <f t="shared" si="1112"/>
        <v>-1098.958946535437</v>
      </c>
      <c r="M795" s="13">
        <f t="shared" si="1112"/>
        <v>-1362.7662510340811</v>
      </c>
      <c r="N795" s="13">
        <f t="shared" si="1112"/>
        <v>-1659.1710668271658</v>
      </c>
      <c r="O795" s="13">
        <f t="shared" si="1112"/>
        <v>-2000.5165820752036</v>
      </c>
      <c r="P795" s="13">
        <f t="shared" si="1112"/>
        <v>-2391.7046157081936</v>
      </c>
      <c r="Q795" s="13">
        <f t="shared" si="1112"/>
        <v>-2841.8341824222398</v>
      </c>
      <c r="R795" s="13">
        <f t="shared" si="1112"/>
        <v>-3357.0596888627324</v>
      </c>
      <c r="S795" s="13">
        <f t="shared" si="1112"/>
        <v>-3930.078465567381</v>
      </c>
      <c r="T795" s="13">
        <f t="shared" si="1112"/>
        <v>-4563.5041251690782</v>
      </c>
    </row>
    <row r="796" spans="1:20" s="2" customFormat="1" outlineLevel="1" x14ac:dyDescent="0.2">
      <c r="B796" s="4" t="s">
        <v>275</v>
      </c>
      <c r="C796" s="4"/>
      <c r="D796" s="45"/>
      <c r="E796" s="148"/>
      <c r="F796" s="148"/>
      <c r="G796" s="148"/>
      <c r="H796" s="23">
        <f>H794+H795</f>
        <v>473</v>
      </c>
      <c r="I796" s="23">
        <f>I794+I795</f>
        <v>220</v>
      </c>
      <c r="J796" s="23">
        <f>J794+J795</f>
        <v>-325.98936795356803</v>
      </c>
      <c r="K796" s="23">
        <f t="shared" ref="K796:O796" si="1113">K794+K795</f>
        <v>-536.21310261125905</v>
      </c>
      <c r="L796" s="23">
        <f t="shared" si="1113"/>
        <v>-769.95894653543701</v>
      </c>
      <c r="M796" s="23">
        <f t="shared" si="1113"/>
        <v>-1033.7662510340811</v>
      </c>
      <c r="N796" s="23">
        <f t="shared" si="1113"/>
        <v>-1330.1710668271658</v>
      </c>
      <c r="O796" s="23">
        <f t="shared" si="1113"/>
        <v>-1671.5165820752036</v>
      </c>
      <c r="P796" s="23">
        <f t="shared" ref="P796:T796" si="1114">P794+P795</f>
        <v>-2062.7046157081936</v>
      </c>
      <c r="Q796" s="23">
        <f t="shared" si="1114"/>
        <v>-2512.8341824222398</v>
      </c>
      <c r="R796" s="23">
        <f t="shared" si="1114"/>
        <v>-3028.0596888627324</v>
      </c>
      <c r="S796" s="23">
        <f t="shared" si="1114"/>
        <v>-3601.078465567381</v>
      </c>
      <c r="T796" s="23">
        <f t="shared" si="1114"/>
        <v>-4234.5041251690782</v>
      </c>
    </row>
    <row r="797" spans="1:20" outlineLevel="1" x14ac:dyDescent="0.2"/>
    <row r="798" spans="1:20" outlineLevel="1" x14ac:dyDescent="0.2">
      <c r="B798" s="37" t="s">
        <v>280</v>
      </c>
      <c r="C798" s="6"/>
    </row>
    <row r="799" spans="1:20" outlineLevel="1" x14ac:dyDescent="0.2">
      <c r="B799" s="2"/>
      <c r="C799" s="1" t="s">
        <v>124</v>
      </c>
      <c r="E799" s="13"/>
      <c r="F799" s="13"/>
      <c r="G799" s="13"/>
      <c r="H799" s="13"/>
      <c r="I799" s="13">
        <f t="shared" ref="I799:T799" si="1115">I639</f>
        <v>515</v>
      </c>
      <c r="J799" s="13">
        <f t="shared" si="1115"/>
        <v>547.65010666301589</v>
      </c>
      <c r="K799" s="13">
        <f t="shared" si="1115"/>
        <v>578.13719057715707</v>
      </c>
      <c r="L799" s="13">
        <f t="shared" si="1115"/>
        <v>604.69953336051503</v>
      </c>
      <c r="M799" s="13">
        <f t="shared" si="1115"/>
        <v>633.00867897290664</v>
      </c>
      <c r="N799" s="13">
        <f t="shared" si="1115"/>
        <v>656.55213680794304</v>
      </c>
      <c r="O799" s="13">
        <f t="shared" si="1115"/>
        <v>683.6012785845636</v>
      </c>
      <c r="P799" s="13">
        <f t="shared" si="1115"/>
        <v>717.57000555555305</v>
      </c>
      <c r="Q799" s="13">
        <f t="shared" si="1115"/>
        <v>753.09597133815851</v>
      </c>
      <c r="R799" s="13">
        <f t="shared" si="1115"/>
        <v>789.90272642346849</v>
      </c>
      <c r="S799" s="13">
        <f t="shared" si="1115"/>
        <v>828.01657399953524</v>
      </c>
      <c r="T799" s="13">
        <f t="shared" si="1115"/>
        <v>867.82060766667269</v>
      </c>
    </row>
    <row r="800" spans="1:20" outlineLevel="1" x14ac:dyDescent="0.2">
      <c r="C800" s="1" t="s">
        <v>362</v>
      </c>
      <c r="E800" s="13"/>
      <c r="F800" s="13"/>
      <c r="G800" s="13"/>
      <c r="H800" s="13"/>
      <c r="I800" s="13">
        <f t="shared" ref="I800:T800" si="1116">SUM(I761:I767)</f>
        <v>39</v>
      </c>
      <c r="J800" s="13">
        <f t="shared" si="1116"/>
        <v>45.047882674005649</v>
      </c>
      <c r="K800" s="13">
        <f t="shared" si="1116"/>
        <v>27.617278930206599</v>
      </c>
      <c r="L800" s="13">
        <f t="shared" si="1116"/>
        <v>28.826156413259049</v>
      </c>
      <c r="M800" s="13">
        <f t="shared" si="1116"/>
        <v>25.399728485135164</v>
      </c>
      <c r="N800" s="13">
        <f t="shared" si="1116"/>
        <v>19.05113265209928</v>
      </c>
      <c r="O800" s="13">
        <f t="shared" si="1116"/>
        <v>18.379641401072675</v>
      </c>
      <c r="P800" s="13">
        <f t="shared" si="1116"/>
        <v>15.5692268430947</v>
      </c>
      <c r="Q800" s="13">
        <f t="shared" si="1116"/>
        <v>16.282971703996367</v>
      </c>
      <c r="R800" s="13">
        <f t="shared" si="1116"/>
        <v>16.87000869272579</v>
      </c>
      <c r="S800" s="13">
        <f t="shared" si="1116"/>
        <v>17.46910148507196</v>
      </c>
      <c r="T800" s="13">
        <f t="shared" si="1116"/>
        <v>18.243781404086732</v>
      </c>
    </row>
    <row r="801" spans="2:22" outlineLevel="1" x14ac:dyDescent="0.2">
      <c r="C801" s="1" t="s">
        <v>381</v>
      </c>
      <c r="E801" s="13"/>
      <c r="F801" s="13"/>
      <c r="G801" s="13"/>
      <c r="H801" s="13"/>
      <c r="I801" s="13">
        <f t="shared" ref="I801:T801" si="1117">I660</f>
        <v>-64</v>
      </c>
      <c r="J801" s="13">
        <f t="shared" si="1117"/>
        <v>-67.309050377070932</v>
      </c>
      <c r="K801" s="13">
        <f t="shared" si="1117"/>
        <v>-77.52865012593621</v>
      </c>
      <c r="L801" s="13">
        <f t="shared" si="1117"/>
        <v>-81.368596029325474</v>
      </c>
      <c r="M801" s="13">
        <f t="shared" si="1117"/>
        <v>-86.750162132995939</v>
      </c>
      <c r="N801" s="13">
        <f t="shared" si="1117"/>
        <v>-92.488056164257472</v>
      </c>
      <c r="O801" s="13">
        <f t="shared" si="1117"/>
        <v>-96.874862060471216</v>
      </c>
      <c r="P801" s="13">
        <f t="shared" si="1117"/>
        <v>-105.90139196422972</v>
      </c>
      <c r="Q801" s="13">
        <f t="shared" si="1117"/>
        <v>-116.19482938115307</v>
      </c>
      <c r="R801" s="13">
        <f t="shared" si="1117"/>
        <v>-127.92276554549579</v>
      </c>
      <c r="S801" s="13">
        <f t="shared" si="1117"/>
        <v>-138.06488962802177</v>
      </c>
      <c r="T801" s="13">
        <f t="shared" si="1117"/>
        <v>-151.98732035156794</v>
      </c>
    </row>
    <row r="802" spans="2:22" outlineLevel="1" x14ac:dyDescent="0.2">
      <c r="C802" s="1" t="s">
        <v>350</v>
      </c>
      <c r="E802" s="13"/>
      <c r="F802" s="13"/>
      <c r="G802" s="13"/>
      <c r="H802" s="13"/>
      <c r="I802" s="13">
        <f t="shared" ref="I802:T802" si="1118">-I396</f>
        <v>-221</v>
      </c>
      <c r="J802" s="13">
        <f t="shared" si="1118"/>
        <v>-238.39886056849463</v>
      </c>
      <c r="K802" s="13">
        <f t="shared" si="1118"/>
        <v>-255.16108948720267</v>
      </c>
      <c r="L802" s="13">
        <f t="shared" si="1118"/>
        <v>-270.75450094338424</v>
      </c>
      <c r="M802" s="13">
        <f t="shared" si="1118"/>
        <v>-280.38625438271231</v>
      </c>
      <c r="N802" s="13">
        <f t="shared" si="1118"/>
        <v>-285.15200349433542</v>
      </c>
      <c r="O802" s="13">
        <f t="shared" si="1118"/>
        <v>-289.64517412400414</v>
      </c>
      <c r="P802" s="13">
        <f t="shared" si="1118"/>
        <v>-293.8276607435605</v>
      </c>
      <c r="Q802" s="13">
        <f t="shared" si="1118"/>
        <v>-297.65896658582574</v>
      </c>
      <c r="R802" s="13">
        <f t="shared" si="1118"/>
        <v>-300.96728600841493</v>
      </c>
      <c r="S802" s="13">
        <f t="shared" si="1118"/>
        <v>-315.48935420818657</v>
      </c>
      <c r="T802" s="13">
        <f t="shared" si="1118"/>
        <v>-330.6554140080151</v>
      </c>
    </row>
    <row r="803" spans="2:22" outlineLevel="1" x14ac:dyDescent="0.2">
      <c r="C803" s="36" t="s">
        <v>376</v>
      </c>
      <c r="E803" s="13"/>
      <c r="F803" s="13"/>
      <c r="G803" s="13"/>
      <c r="H803" s="13"/>
      <c r="I803" s="13"/>
      <c r="J803" s="13"/>
      <c r="K803" s="13"/>
      <c r="L803" s="13"/>
      <c r="M803" s="13"/>
      <c r="N803" s="13"/>
      <c r="O803" s="13"/>
      <c r="P803" s="13"/>
      <c r="Q803" s="13"/>
      <c r="R803" s="13"/>
      <c r="S803" s="13"/>
      <c r="T803" s="13"/>
    </row>
    <row r="804" spans="2:22" outlineLevel="1" x14ac:dyDescent="0.2">
      <c r="C804" s="36" t="s">
        <v>377</v>
      </c>
      <c r="E804" s="13"/>
      <c r="F804" s="13"/>
      <c r="G804" s="13"/>
      <c r="H804" s="13"/>
      <c r="I804" s="13"/>
      <c r="J804" s="13"/>
      <c r="K804" s="13"/>
      <c r="L804" s="13"/>
      <c r="M804" s="13"/>
      <c r="N804" s="13"/>
      <c r="O804" s="13"/>
      <c r="P804" s="13"/>
      <c r="Q804" s="13"/>
      <c r="R804" s="13"/>
      <c r="S804" s="13"/>
      <c r="T804" s="13"/>
    </row>
    <row r="805" spans="2:22" s="2" customFormat="1" outlineLevel="1" x14ac:dyDescent="0.2">
      <c r="C805" s="4" t="s">
        <v>373</v>
      </c>
      <c r="D805" s="45"/>
      <c r="E805" s="23"/>
      <c r="F805" s="23"/>
      <c r="G805" s="23"/>
      <c r="H805" s="23"/>
      <c r="I805" s="23">
        <f>SUM(I799:I804)</f>
        <v>269</v>
      </c>
      <c r="J805" s="23">
        <f t="shared" ref="J805:T805" si="1119">SUM(J799:J804)</f>
        <v>286.99007839145605</v>
      </c>
      <c r="K805" s="23">
        <f t="shared" si="1119"/>
        <v>273.06472989422474</v>
      </c>
      <c r="L805" s="23">
        <f t="shared" si="1119"/>
        <v>281.40259280106437</v>
      </c>
      <c r="M805" s="23">
        <f t="shared" si="1119"/>
        <v>291.27199094233356</v>
      </c>
      <c r="N805" s="23">
        <f t="shared" si="1119"/>
        <v>297.96320980144935</v>
      </c>
      <c r="O805" s="23">
        <f t="shared" si="1119"/>
        <v>315.460883801161</v>
      </c>
      <c r="P805" s="23">
        <f t="shared" si="1119"/>
        <v>333.4101796908576</v>
      </c>
      <c r="Q805" s="23">
        <f t="shared" si="1119"/>
        <v>355.52514707517605</v>
      </c>
      <c r="R805" s="23">
        <f t="shared" si="1119"/>
        <v>377.88268356228355</v>
      </c>
      <c r="S805" s="23">
        <f t="shared" si="1119"/>
        <v>391.93143164839887</v>
      </c>
      <c r="T805" s="23">
        <f t="shared" si="1119"/>
        <v>403.4216547111763</v>
      </c>
    </row>
    <row r="806" spans="2:22" outlineLevel="1" x14ac:dyDescent="0.2">
      <c r="C806" s="1" t="s">
        <v>378</v>
      </c>
      <c r="E806" s="13"/>
      <c r="F806" s="13"/>
      <c r="G806" s="13"/>
      <c r="H806" s="13"/>
      <c r="I806" s="13">
        <f t="shared" ref="I806:T806" si="1120">I654+I655</f>
        <v>-42</v>
      </c>
      <c r="J806" s="13">
        <f t="shared" si="1120"/>
        <v>-18.199449757631342</v>
      </c>
      <c r="K806" s="13">
        <f t="shared" si="1120"/>
        <v>31.60374190198392</v>
      </c>
      <c r="L806" s="13">
        <f t="shared" si="1120"/>
        <v>51.389505163884252</v>
      </c>
      <c r="M806" s="13">
        <f t="shared" si="1120"/>
        <v>73.389114003806881</v>
      </c>
      <c r="N806" s="13">
        <f t="shared" si="1120"/>
        <v>98.218036780149845</v>
      </c>
      <c r="O806" s="13">
        <f t="shared" si="1120"/>
        <v>126.11496061949902</v>
      </c>
      <c r="P806" s="13">
        <f t="shared" si="1120"/>
        <v>158.24159734872609</v>
      </c>
      <c r="Q806" s="13">
        <f t="shared" si="1120"/>
        <v>195.05929463183102</v>
      </c>
      <c r="R806" s="13">
        <f t="shared" si="1120"/>
        <v>237.42443032256477</v>
      </c>
      <c r="S806" s="13">
        <f t="shared" si="1120"/>
        <v>285.9162426934347</v>
      </c>
      <c r="T806" s="13">
        <f t="shared" si="1120"/>
        <v>339.8474216774016</v>
      </c>
    </row>
    <row r="807" spans="2:22" outlineLevel="1" x14ac:dyDescent="0.2">
      <c r="C807" s="1" t="s">
        <v>379</v>
      </c>
      <c r="E807" s="13"/>
      <c r="F807" s="13"/>
      <c r="G807" s="13"/>
      <c r="H807" s="13"/>
      <c r="I807" s="13">
        <f t="shared" ref="I807:T807" si="1121">-I503</f>
        <v>-82</v>
      </c>
      <c r="J807" s="13">
        <f t="shared" si="1121"/>
        <v>-92.130785438662585</v>
      </c>
      <c r="K807" s="13">
        <f t="shared" si="1121"/>
        <v>-100.09025668449343</v>
      </c>
      <c r="L807" s="13">
        <f t="shared" si="1121"/>
        <v>-107.82708158039891</v>
      </c>
      <c r="M807" s="13">
        <f t="shared" si="1121"/>
        <v>-115.17676276605576</v>
      </c>
      <c r="N807" s="13">
        <f t="shared" si="1121"/>
        <v>-120.9402439105647</v>
      </c>
      <c r="O807" s="13">
        <f t="shared" si="1121"/>
        <v>-126.97133470130973</v>
      </c>
      <c r="P807" s="13">
        <f t="shared" si="1121"/>
        <v>-133.28064794680475</v>
      </c>
      <c r="Q807" s="13">
        <f t="shared" si="1121"/>
        <v>-139.87920098244317</v>
      </c>
      <c r="R807" s="13">
        <f t="shared" si="1121"/>
        <v>-146.71564638652811</v>
      </c>
      <c r="S807" s="13">
        <f t="shared" si="1121"/>
        <v>-153.7948696837046</v>
      </c>
      <c r="T807" s="13">
        <f t="shared" si="1121"/>
        <v>-161.18802624958587</v>
      </c>
    </row>
    <row r="808" spans="2:22" s="2" customFormat="1" outlineLevel="1" x14ac:dyDescent="0.2">
      <c r="C808" s="4" t="s">
        <v>380</v>
      </c>
      <c r="D808" s="45"/>
      <c r="E808" s="23"/>
      <c r="F808" s="23"/>
      <c r="G808" s="23"/>
      <c r="H808" s="23"/>
      <c r="I808" s="23">
        <f>SUM(I805:I807)</f>
        <v>145</v>
      </c>
      <c r="J808" s="23">
        <f t="shared" ref="J808:T808" si="1122">SUM(J805:J807)</f>
        <v>176.65984319516213</v>
      </c>
      <c r="K808" s="23">
        <f t="shared" si="1122"/>
        <v>204.57821511171525</v>
      </c>
      <c r="L808" s="23">
        <f t="shared" si="1122"/>
        <v>224.96501638454976</v>
      </c>
      <c r="M808" s="23">
        <f t="shared" si="1122"/>
        <v>249.48434218008467</v>
      </c>
      <c r="N808" s="23">
        <f t="shared" si="1122"/>
        <v>275.24100267103449</v>
      </c>
      <c r="O808" s="23">
        <f t="shared" si="1122"/>
        <v>314.60450971935029</v>
      </c>
      <c r="P808" s="23">
        <f t="shared" si="1122"/>
        <v>358.37112909277892</v>
      </c>
      <c r="Q808" s="23">
        <f t="shared" si="1122"/>
        <v>410.70524072456385</v>
      </c>
      <c r="R808" s="23">
        <f t="shared" si="1122"/>
        <v>468.5914674983203</v>
      </c>
      <c r="S808" s="23">
        <f t="shared" si="1122"/>
        <v>524.05280465812893</v>
      </c>
      <c r="T808" s="23">
        <f t="shared" si="1122"/>
        <v>582.08105013899205</v>
      </c>
      <c r="V808" s="52"/>
    </row>
    <row r="809" spans="2:22" outlineLevel="1" x14ac:dyDescent="0.2">
      <c r="C809" s="60" t="s">
        <v>142</v>
      </c>
      <c r="J809" s="52">
        <f>IFERROR(J808/I808-1,"")</f>
        <v>0.21834374617353181</v>
      </c>
      <c r="K809" s="52">
        <f t="shared" ref="K809:T809" si="1123">IFERROR(K808/J808-1,"")</f>
        <v>0.15803462412060876</v>
      </c>
      <c r="L809" s="52">
        <f t="shared" si="1123"/>
        <v>9.9652845547126168E-2</v>
      </c>
      <c r="M809" s="52">
        <f t="shared" si="1123"/>
        <v>0.10899172764543152</v>
      </c>
      <c r="N809" s="52">
        <f t="shared" si="1123"/>
        <v>0.10323958716558645</v>
      </c>
      <c r="O809" s="52">
        <f t="shared" si="1123"/>
        <v>0.14301469136617961</v>
      </c>
      <c r="P809" s="52">
        <f t="shared" si="1123"/>
        <v>0.13911631277145897</v>
      </c>
      <c r="Q809" s="52">
        <f t="shared" si="1123"/>
        <v>0.14603328053872366</v>
      </c>
      <c r="R809" s="52">
        <f t="shared" si="1123"/>
        <v>0.14094348217138375</v>
      </c>
      <c r="S809" s="52">
        <f t="shared" si="1123"/>
        <v>0.11835754811307453</v>
      </c>
      <c r="T809" s="52">
        <f t="shared" si="1123"/>
        <v>0.11072976800251721</v>
      </c>
    </row>
    <row r="810" spans="2:22" outlineLevel="1" x14ac:dyDescent="0.2">
      <c r="C810" s="60" t="s">
        <v>363</v>
      </c>
      <c r="I810" s="52">
        <f t="shared" ref="I810:T810" si="1124">I808/I604</f>
        <v>0.15778019586507072</v>
      </c>
      <c r="J810" s="52">
        <f t="shared" si="1124"/>
        <v>0.17109267165076303</v>
      </c>
      <c r="K810" s="52">
        <f t="shared" si="1124"/>
        <v>0.1823752596341694</v>
      </c>
      <c r="L810" s="52">
        <f t="shared" si="1124"/>
        <v>0.18615961739605469</v>
      </c>
      <c r="M810" s="52">
        <f t="shared" si="1124"/>
        <v>0.19327548305247128</v>
      </c>
      <c r="N810" s="52">
        <f t="shared" si="1124"/>
        <v>0.20306759816196074</v>
      </c>
      <c r="O810" s="52">
        <f t="shared" si="1124"/>
        <v>0.22108414578643618</v>
      </c>
      <c r="P810" s="52">
        <f t="shared" si="1124"/>
        <v>0.23991878897493804</v>
      </c>
      <c r="Q810" s="52">
        <f t="shared" si="1124"/>
        <v>0.26198440660791289</v>
      </c>
      <c r="R810" s="52">
        <f t="shared" si="1124"/>
        <v>0.28498124929924884</v>
      </c>
      <c r="S810" s="52">
        <f t="shared" si="1124"/>
        <v>0.30404057288271547</v>
      </c>
      <c r="T810" s="52">
        <f t="shared" si="1124"/>
        <v>0.32221742637647871</v>
      </c>
    </row>
    <row r="812" spans="2:22" x14ac:dyDescent="0.2">
      <c r="B812" s="1" t="s">
        <v>22</v>
      </c>
      <c r="C812" s="37" t="s">
        <v>958</v>
      </c>
    </row>
    <row r="814" spans="2:22" x14ac:dyDescent="0.2">
      <c r="C814" s="1" t="s">
        <v>124</v>
      </c>
      <c r="I814" s="21">
        <f t="shared" ref="I814:I816" si="1125">I799</f>
        <v>515</v>
      </c>
      <c r="J814" s="21">
        <f t="shared" ref="J814:T814" si="1126">J799</f>
        <v>547.65010666301589</v>
      </c>
      <c r="K814" s="21">
        <f t="shared" si="1126"/>
        <v>578.13719057715707</v>
      </c>
      <c r="L814" s="21">
        <f t="shared" si="1126"/>
        <v>604.69953336051503</v>
      </c>
      <c r="M814" s="21">
        <f t="shared" si="1126"/>
        <v>633.00867897290664</v>
      </c>
      <c r="N814" s="21">
        <f t="shared" si="1126"/>
        <v>656.55213680794304</v>
      </c>
      <c r="O814" s="21">
        <f t="shared" si="1126"/>
        <v>683.6012785845636</v>
      </c>
      <c r="P814" s="21">
        <f t="shared" si="1126"/>
        <v>717.57000555555305</v>
      </c>
      <c r="Q814" s="21">
        <f t="shared" si="1126"/>
        <v>753.09597133815851</v>
      </c>
      <c r="R814" s="21">
        <f t="shared" si="1126"/>
        <v>789.90272642346849</v>
      </c>
      <c r="S814" s="21">
        <f t="shared" si="1126"/>
        <v>828.01657399953524</v>
      </c>
      <c r="T814" s="21">
        <f t="shared" si="1126"/>
        <v>867.82060766667269</v>
      </c>
    </row>
    <row r="815" spans="2:22" x14ac:dyDescent="0.2">
      <c r="C815" s="1" t="s">
        <v>362</v>
      </c>
      <c r="I815" s="21">
        <f t="shared" si="1125"/>
        <v>39</v>
      </c>
      <c r="J815" s="21">
        <f t="shared" ref="J815:T815" si="1127">J800</f>
        <v>45.047882674005649</v>
      </c>
      <c r="K815" s="21">
        <f t="shared" si="1127"/>
        <v>27.617278930206599</v>
      </c>
      <c r="L815" s="21">
        <f t="shared" si="1127"/>
        <v>28.826156413259049</v>
      </c>
      <c r="M815" s="21">
        <f t="shared" si="1127"/>
        <v>25.399728485135164</v>
      </c>
      <c r="N815" s="21">
        <f t="shared" si="1127"/>
        <v>19.05113265209928</v>
      </c>
      <c r="O815" s="21">
        <f t="shared" si="1127"/>
        <v>18.379641401072675</v>
      </c>
      <c r="P815" s="21">
        <f t="shared" si="1127"/>
        <v>15.5692268430947</v>
      </c>
      <c r="Q815" s="21">
        <f t="shared" si="1127"/>
        <v>16.282971703996367</v>
      </c>
      <c r="R815" s="21">
        <f t="shared" si="1127"/>
        <v>16.87000869272579</v>
      </c>
      <c r="S815" s="21">
        <f t="shared" si="1127"/>
        <v>17.46910148507196</v>
      </c>
      <c r="T815" s="21">
        <f t="shared" si="1127"/>
        <v>18.243781404086732</v>
      </c>
    </row>
    <row r="816" spans="2:22" x14ac:dyDescent="0.2">
      <c r="C816" s="1" t="s">
        <v>381</v>
      </c>
      <c r="I816" s="21">
        <f t="shared" si="1125"/>
        <v>-64</v>
      </c>
      <c r="J816" s="21">
        <f t="shared" ref="J816:T816" si="1128">J801</f>
        <v>-67.309050377070932</v>
      </c>
      <c r="K816" s="21">
        <f t="shared" si="1128"/>
        <v>-77.52865012593621</v>
      </c>
      <c r="L816" s="21">
        <f t="shared" si="1128"/>
        <v>-81.368596029325474</v>
      </c>
      <c r="M816" s="21">
        <f t="shared" si="1128"/>
        <v>-86.750162132995939</v>
      </c>
      <c r="N816" s="21">
        <f t="shared" si="1128"/>
        <v>-92.488056164257472</v>
      </c>
      <c r="O816" s="21">
        <f t="shared" si="1128"/>
        <v>-96.874862060471216</v>
      </c>
      <c r="P816" s="21">
        <f t="shared" si="1128"/>
        <v>-105.90139196422972</v>
      </c>
      <c r="Q816" s="21">
        <f t="shared" si="1128"/>
        <v>-116.19482938115307</v>
      </c>
      <c r="R816" s="21">
        <f t="shared" si="1128"/>
        <v>-127.92276554549579</v>
      </c>
      <c r="S816" s="21">
        <f t="shared" si="1128"/>
        <v>-138.06488962802177</v>
      </c>
      <c r="T816" s="21">
        <f t="shared" si="1128"/>
        <v>-151.98732035156794</v>
      </c>
    </row>
    <row r="817" spans="3:20" x14ac:dyDescent="0.2">
      <c r="C817" s="1" t="str">
        <f>C806</f>
        <v>(-) Net interest costs</v>
      </c>
      <c r="I817" s="21">
        <f t="shared" ref="I817" si="1129">I806</f>
        <v>-42</v>
      </c>
      <c r="J817" s="21">
        <f t="shared" ref="J817:T817" si="1130">J806</f>
        <v>-18.199449757631342</v>
      </c>
      <c r="K817" s="21">
        <f t="shared" si="1130"/>
        <v>31.60374190198392</v>
      </c>
      <c r="L817" s="21">
        <f t="shared" si="1130"/>
        <v>51.389505163884252</v>
      </c>
      <c r="M817" s="21">
        <f t="shared" si="1130"/>
        <v>73.389114003806881</v>
      </c>
      <c r="N817" s="21">
        <f t="shared" si="1130"/>
        <v>98.218036780149845</v>
      </c>
      <c r="O817" s="21">
        <f t="shared" si="1130"/>
        <v>126.11496061949902</v>
      </c>
      <c r="P817" s="21">
        <f t="shared" si="1130"/>
        <v>158.24159734872609</v>
      </c>
      <c r="Q817" s="21">
        <f t="shared" si="1130"/>
        <v>195.05929463183102</v>
      </c>
      <c r="R817" s="21">
        <f t="shared" si="1130"/>
        <v>237.42443032256477</v>
      </c>
      <c r="S817" s="21">
        <f t="shared" si="1130"/>
        <v>285.9162426934347</v>
      </c>
      <c r="T817" s="21">
        <f t="shared" si="1130"/>
        <v>339.8474216774016</v>
      </c>
    </row>
    <row r="818" spans="3:20" x14ac:dyDescent="0.2">
      <c r="C818" s="21" t="str">
        <f>C758</f>
        <v>Others LT liabilities</v>
      </c>
      <c r="I818" s="21">
        <f>I758</f>
        <v>1</v>
      </c>
      <c r="J818" s="21">
        <f t="shared" ref="J818:T818" si="1131">J758</f>
        <v>2.1002847860641971</v>
      </c>
      <c r="K818" s="21">
        <f t="shared" si="1131"/>
        <v>1.6501342826722478</v>
      </c>
      <c r="L818" s="21">
        <f t="shared" si="1131"/>
        <v>1.6039758930535761</v>
      </c>
      <c r="M818" s="21">
        <f t="shared" si="1131"/>
        <v>1.5237143921483707</v>
      </c>
      <c r="N818" s="21">
        <f t="shared" si="1131"/>
        <v>1.1948680421542903</v>
      </c>
      <c r="O818" s="21">
        <f t="shared" si="1131"/>
        <v>1.2503480907642164</v>
      </c>
      <c r="P818" s="21">
        <f t="shared" si="1131"/>
        <v>1.3080283557733559</v>
      </c>
      <c r="Q818" s="21">
        <f t="shared" si="1131"/>
        <v>1.3679927025104064</v>
      </c>
      <c r="R818" s="21">
        <f t="shared" si="1131"/>
        <v>1.4173118520663905</v>
      </c>
      <c r="S818" s="21">
        <f t="shared" si="1131"/>
        <v>1.4676438542926853</v>
      </c>
      <c r="T818" s="21">
        <f t="shared" si="1131"/>
        <v>1.5327275807314855</v>
      </c>
    </row>
    <row r="819" spans="3:20" x14ac:dyDescent="0.2">
      <c r="C819" s="21" t="str">
        <f>C759</f>
        <v>Investments and derivatives</v>
      </c>
      <c r="I819" s="21">
        <f>I759</f>
        <v>113</v>
      </c>
      <c r="J819" s="21">
        <f t="shared" ref="J819:T819" si="1132">J759</f>
        <v>-11.613339405296145</v>
      </c>
      <c r="K819" s="21">
        <f t="shared" si="1132"/>
        <v>-9.1242719159524199</v>
      </c>
      <c r="L819" s="21">
        <f t="shared" si="1132"/>
        <v>-8.869043173355081</v>
      </c>
      <c r="M819" s="21">
        <f t="shared" si="1132"/>
        <v>-8.4252442859968824</v>
      </c>
      <c r="N819" s="21">
        <f t="shared" si="1132"/>
        <v>-6.6069174095590313</v>
      </c>
      <c r="O819" s="21">
        <f t="shared" si="1132"/>
        <v>-6.9136894430491509</v>
      </c>
      <c r="P819" s="21">
        <f t="shared" si="1132"/>
        <v>-7.2326273789821016</v>
      </c>
      <c r="Q819" s="21">
        <f t="shared" si="1132"/>
        <v>-7.5641949432928186</v>
      </c>
      <c r="R819" s="21">
        <f t="shared" si="1132"/>
        <v>-7.836900829072988</v>
      </c>
      <c r="S819" s="21">
        <f t="shared" si="1132"/>
        <v>-8.1152071943242561</v>
      </c>
      <c r="T819" s="21">
        <f t="shared" si="1132"/>
        <v>-8.4750819169858858</v>
      </c>
    </row>
    <row r="820" spans="3:20" x14ac:dyDescent="0.2">
      <c r="C820" s="1" t="s">
        <v>350</v>
      </c>
      <c r="I820" s="21">
        <f>I802</f>
        <v>-221</v>
      </c>
      <c r="J820" s="21">
        <f t="shared" ref="J820:T820" si="1133">J802</f>
        <v>-238.39886056849463</v>
      </c>
      <c r="K820" s="21">
        <f t="shared" si="1133"/>
        <v>-255.16108948720267</v>
      </c>
      <c r="L820" s="21">
        <f t="shared" si="1133"/>
        <v>-270.75450094338424</v>
      </c>
      <c r="M820" s="21">
        <f t="shared" si="1133"/>
        <v>-280.38625438271231</v>
      </c>
      <c r="N820" s="21">
        <f t="shared" si="1133"/>
        <v>-285.15200349433542</v>
      </c>
      <c r="O820" s="21">
        <f t="shared" si="1133"/>
        <v>-289.64517412400414</v>
      </c>
      <c r="P820" s="21">
        <f t="shared" si="1133"/>
        <v>-293.8276607435605</v>
      </c>
      <c r="Q820" s="21">
        <f t="shared" si="1133"/>
        <v>-297.65896658582574</v>
      </c>
      <c r="R820" s="21">
        <f t="shared" si="1133"/>
        <v>-300.96728600841493</v>
      </c>
      <c r="S820" s="21">
        <f t="shared" si="1133"/>
        <v>-315.48935420818657</v>
      </c>
      <c r="T820" s="21">
        <f t="shared" si="1133"/>
        <v>-330.6554140080151</v>
      </c>
    </row>
    <row r="821" spans="3:20" x14ac:dyDescent="0.2">
      <c r="C821" s="3" t="s">
        <v>959</v>
      </c>
      <c r="I821" s="178">
        <f t="shared" ref="I821" si="1134">I394+I395</f>
        <v>-110</v>
      </c>
      <c r="J821" s="178">
        <f t="shared" ref="J821:T821" si="1135">J394+J395</f>
        <v>-81.688206061024744</v>
      </c>
      <c r="K821" s="178">
        <f t="shared" si="1135"/>
        <v>-86.970599505237416</v>
      </c>
      <c r="L821" s="178">
        <f t="shared" si="1135"/>
        <v>-91.781186760469225</v>
      </c>
      <c r="M821" s="178">
        <f t="shared" si="1135"/>
        <v>-93.952270553647764</v>
      </c>
      <c r="N821" s="178">
        <f t="shared" si="1135"/>
        <v>-94.364381421109826</v>
      </c>
      <c r="O821" s="178">
        <f t="shared" si="1135"/>
        <v>-94.566987820337175</v>
      </c>
      <c r="P821" s="178">
        <f t="shared" si="1135"/>
        <v>-94.539144383384993</v>
      </c>
      <c r="Q821" s="178">
        <f t="shared" si="1135"/>
        <v>-94.258672752178157</v>
      </c>
      <c r="R821" s="178">
        <f t="shared" si="1135"/>
        <v>-93.662018467349043</v>
      </c>
      <c r="S821" s="178">
        <f t="shared" si="1135"/>
        <v>-98.181334297153498</v>
      </c>
      <c r="T821" s="178">
        <f t="shared" si="1135"/>
        <v>-102.90106245062712</v>
      </c>
    </row>
    <row r="822" spans="3:20" x14ac:dyDescent="0.2">
      <c r="C822" s="3" t="s">
        <v>960</v>
      </c>
      <c r="I822" s="178">
        <f>I773</f>
        <v>0</v>
      </c>
      <c r="J822" s="178">
        <f t="shared" ref="J822:T822" si="1136">J773</f>
        <v>-141</v>
      </c>
      <c r="K822" s="178">
        <f t="shared" si="1136"/>
        <v>0</v>
      </c>
      <c r="L822" s="178">
        <f t="shared" si="1136"/>
        <v>0</v>
      </c>
      <c r="M822" s="178">
        <f t="shared" si="1136"/>
        <v>0</v>
      </c>
      <c r="N822" s="178">
        <f t="shared" si="1136"/>
        <v>0</v>
      </c>
      <c r="O822" s="178">
        <f t="shared" si="1136"/>
        <v>0</v>
      </c>
      <c r="P822" s="178">
        <f t="shared" si="1136"/>
        <v>0</v>
      </c>
      <c r="Q822" s="178">
        <f t="shared" si="1136"/>
        <v>0</v>
      </c>
      <c r="R822" s="178">
        <f t="shared" si="1136"/>
        <v>0</v>
      </c>
      <c r="S822" s="178">
        <f t="shared" si="1136"/>
        <v>0</v>
      </c>
      <c r="T822" s="178">
        <f t="shared" si="1136"/>
        <v>0</v>
      </c>
    </row>
    <row r="823" spans="3:20" x14ac:dyDescent="0.2">
      <c r="C823" s="3" t="s">
        <v>27</v>
      </c>
      <c r="I823" s="178">
        <f>I783+I784+I787</f>
        <v>-383</v>
      </c>
      <c r="J823" s="178">
        <f>J783+J784+J787</f>
        <v>509.4</v>
      </c>
      <c r="K823" s="178">
        <f t="shared" ref="K823:T823" si="1137">K783+K784+K787</f>
        <v>0</v>
      </c>
      <c r="L823" s="178">
        <f t="shared" si="1137"/>
        <v>0</v>
      </c>
      <c r="M823" s="178">
        <f t="shared" si="1137"/>
        <v>0</v>
      </c>
      <c r="N823" s="178">
        <f t="shared" si="1137"/>
        <v>0</v>
      </c>
      <c r="O823" s="178">
        <f t="shared" si="1137"/>
        <v>0</v>
      </c>
      <c r="P823" s="178">
        <f t="shared" si="1137"/>
        <v>0</v>
      </c>
      <c r="Q823" s="178">
        <f t="shared" si="1137"/>
        <v>0</v>
      </c>
      <c r="R823" s="178">
        <f t="shared" si="1137"/>
        <v>0</v>
      </c>
      <c r="S823" s="178">
        <f t="shared" si="1137"/>
        <v>0</v>
      </c>
      <c r="T823" s="178">
        <f t="shared" si="1137"/>
        <v>0</v>
      </c>
    </row>
    <row r="824" spans="3:20" s="2" customFormat="1" ht="13.5" thickBot="1" x14ac:dyDescent="0.25">
      <c r="C824" s="5" t="s">
        <v>956</v>
      </c>
      <c r="D824" s="87"/>
      <c r="E824" s="484"/>
      <c r="F824" s="484"/>
      <c r="G824" s="484"/>
      <c r="H824" s="484"/>
      <c r="I824" s="484">
        <f>SUM(I814:I823)</f>
        <v>-152</v>
      </c>
      <c r="J824" s="484">
        <f t="shared" ref="J824:T824" si="1138">SUM(J814:J823)</f>
        <v>545.98936795356803</v>
      </c>
      <c r="K824" s="484">
        <f t="shared" si="1138"/>
        <v>210.22373465769101</v>
      </c>
      <c r="L824" s="484">
        <f t="shared" si="1138"/>
        <v>233.74584392417785</v>
      </c>
      <c r="M824" s="484">
        <f t="shared" si="1138"/>
        <v>263.80730449864416</v>
      </c>
      <c r="N824" s="484">
        <f t="shared" si="1138"/>
        <v>296.40481579308465</v>
      </c>
      <c r="O824" s="484">
        <f t="shared" si="1138"/>
        <v>341.34551524803783</v>
      </c>
      <c r="P824" s="484">
        <f t="shared" si="1138"/>
        <v>391.18803363298997</v>
      </c>
      <c r="Q824" s="484">
        <f t="shared" si="1138"/>
        <v>450.12956671404646</v>
      </c>
      <c r="R824" s="484">
        <f t="shared" si="1138"/>
        <v>515.22550644049272</v>
      </c>
      <c r="S824" s="484">
        <f t="shared" si="1138"/>
        <v>573.01877670464842</v>
      </c>
      <c r="T824" s="484">
        <f t="shared" si="1138"/>
        <v>633.42565960169645</v>
      </c>
    </row>
    <row r="825" spans="3:20" s="2" customFormat="1" ht="13.5" thickTop="1" x14ac:dyDescent="0.2">
      <c r="D825" s="44"/>
      <c r="E825" s="89"/>
      <c r="F825" s="89"/>
      <c r="G825" s="89"/>
      <c r="H825" s="89"/>
    </row>
    <row r="826" spans="3:20" ht="13.5" thickBot="1" x14ac:dyDescent="0.25">
      <c r="C826" s="5" t="s">
        <v>938</v>
      </c>
      <c r="D826" s="87"/>
      <c r="E826" s="484"/>
      <c r="F826" s="484"/>
      <c r="G826" s="484"/>
      <c r="H826" s="484"/>
      <c r="I826" s="484">
        <f t="shared" ref="I826:O826" si="1139">H796-I796</f>
        <v>253</v>
      </c>
      <c r="J826" s="484">
        <f t="shared" si="1139"/>
        <v>545.98936795356803</v>
      </c>
      <c r="K826" s="484">
        <f t="shared" si="1139"/>
        <v>210.22373465769101</v>
      </c>
      <c r="L826" s="484">
        <f t="shared" si="1139"/>
        <v>233.74584392417796</v>
      </c>
      <c r="M826" s="484">
        <f t="shared" si="1139"/>
        <v>263.80730449864404</v>
      </c>
      <c r="N826" s="484">
        <f t="shared" si="1139"/>
        <v>296.40481579308471</v>
      </c>
      <c r="O826" s="484">
        <f t="shared" si="1139"/>
        <v>341.34551524803783</v>
      </c>
      <c r="P826" s="484">
        <f t="shared" ref="P826:T826" si="1140">O796-P796</f>
        <v>391.18803363299003</v>
      </c>
      <c r="Q826" s="484">
        <f t="shared" si="1140"/>
        <v>450.12956671404618</v>
      </c>
      <c r="R826" s="484">
        <f t="shared" si="1140"/>
        <v>515.22550644049261</v>
      </c>
      <c r="S826" s="484">
        <f t="shared" si="1140"/>
        <v>573.01877670464864</v>
      </c>
      <c r="T826" s="484">
        <f t="shared" si="1140"/>
        <v>633.42565960169713</v>
      </c>
    </row>
    <row r="827" spans="3:20" ht="13.5" thickTop="1" x14ac:dyDescent="0.2"/>
    <row r="828" spans="3:20" x14ac:dyDescent="0.2">
      <c r="C828" s="7" t="s">
        <v>102</v>
      </c>
      <c r="D828" s="539"/>
      <c r="E828" s="540"/>
      <c r="F828" s="540"/>
      <c r="G828" s="540"/>
      <c r="H828" s="540"/>
      <c r="I828" s="540">
        <f t="shared" ref="I828:O828" si="1141">I824-I$826</f>
        <v>-405</v>
      </c>
      <c r="J828" s="540">
        <f t="shared" si="1141"/>
        <v>0</v>
      </c>
      <c r="K828" s="540">
        <f t="shared" si="1141"/>
        <v>0</v>
      </c>
      <c r="L828" s="540">
        <f t="shared" si="1141"/>
        <v>0</v>
      </c>
      <c r="M828" s="540">
        <f t="shared" si="1141"/>
        <v>0</v>
      </c>
      <c r="N828" s="540">
        <f t="shared" si="1141"/>
        <v>0</v>
      </c>
      <c r="O828" s="540">
        <f t="shared" si="1141"/>
        <v>0</v>
      </c>
      <c r="P828" s="540">
        <f t="shared" ref="P828:T828" si="1142">P824-P$826</f>
        <v>0</v>
      </c>
      <c r="Q828" s="540">
        <f t="shared" si="1142"/>
        <v>0</v>
      </c>
      <c r="R828" s="540">
        <f t="shared" si="1142"/>
        <v>0</v>
      </c>
      <c r="S828" s="540">
        <f t="shared" si="1142"/>
        <v>0</v>
      </c>
      <c r="T828" s="540">
        <f t="shared" si="1142"/>
        <v>0</v>
      </c>
    </row>
    <row r="829" spans="3:20" x14ac:dyDescent="0.2">
      <c r="C829" s="21"/>
    </row>
    <row r="830" spans="3:20" x14ac:dyDescent="0.2">
      <c r="I830" s="89"/>
      <c r="J830" s="89"/>
      <c r="K830" s="89"/>
      <c r="L830" s="89"/>
      <c r="M830" s="89"/>
      <c r="N830" s="89"/>
      <c r="O830" s="89"/>
    </row>
    <row r="831" spans="3:20" x14ac:dyDescent="0.2">
      <c r="I831" s="155"/>
      <c r="J831" s="155"/>
      <c r="K831" s="155"/>
      <c r="L831" s="155"/>
      <c r="M831" s="155"/>
      <c r="N831" s="155"/>
      <c r="O831" s="155"/>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19" r:id="rId3" name="Drop Down 71">
              <controlPr defaultSize="0" autoLine="0" autoPict="0">
                <anchor moveWithCells="1">
                  <from>
                    <xdr:col>2</xdr:col>
                    <xdr:colOff>2486025</xdr:colOff>
                    <xdr:row>3</xdr:row>
                    <xdr:rowOff>133350</xdr:rowOff>
                  </from>
                  <to>
                    <xdr:col>4</xdr:col>
                    <xdr:colOff>0</xdr:colOff>
                    <xdr:row>5</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3A24-5F4A-4521-B112-CDEB22B4DC64}">
  <sheetPr>
    <tabColor theme="0"/>
  </sheetPr>
  <dimension ref="A1:S74"/>
  <sheetViews>
    <sheetView zoomScale="85" zoomScaleNormal="85" workbookViewId="0">
      <pane xSplit="4" ySplit="3" topLeftCell="E37" activePane="bottomRight" state="frozen"/>
      <selection activeCell="M37" sqref="M37"/>
      <selection pane="topRight" activeCell="M37" sqref="M37"/>
      <selection pane="bottomLeft" activeCell="M37" sqref="M37"/>
      <selection pane="bottomRight" activeCell="D61" sqref="D61:D62"/>
    </sheetView>
  </sheetViews>
  <sheetFormatPr defaultColWidth="8.85546875" defaultRowHeight="12.75" outlineLevelRow="1" x14ac:dyDescent="0.2"/>
  <cols>
    <col min="1" max="1" width="2.42578125" style="1" customWidth="1"/>
    <col min="2" max="2" width="28.42578125" style="1" bestFit="1" customWidth="1"/>
    <col min="3" max="3" width="10.85546875" style="13" customWidth="1"/>
    <col min="4" max="4" width="10.7109375" style="13" customWidth="1"/>
    <col min="5" max="7" width="8.85546875" style="13" customWidth="1"/>
    <col min="8" max="16384" width="8.85546875" style="13"/>
  </cols>
  <sheetData>
    <row r="1" spans="1:17" s="1" customFormat="1" x14ac:dyDescent="0.2"/>
    <row r="2" spans="1:17" s="1" customFormat="1" x14ac:dyDescent="0.2">
      <c r="B2" s="34"/>
      <c r="C2" s="34"/>
      <c r="D2" s="35"/>
      <c r="E2" s="34">
        <v>2023</v>
      </c>
      <c r="F2" s="34">
        <f>E2+1</f>
        <v>2024</v>
      </c>
      <c r="G2" s="182">
        <f t="shared" ref="G2:Q2" si="0">F2+1</f>
        <v>2025</v>
      </c>
      <c r="H2" s="182">
        <f t="shared" si="0"/>
        <v>2026</v>
      </c>
      <c r="I2" s="182">
        <f t="shared" si="0"/>
        <v>2027</v>
      </c>
      <c r="J2" s="182">
        <f t="shared" si="0"/>
        <v>2028</v>
      </c>
      <c r="K2" s="182">
        <f t="shared" si="0"/>
        <v>2029</v>
      </c>
      <c r="L2" s="182">
        <f t="shared" si="0"/>
        <v>2030</v>
      </c>
      <c r="M2" s="182">
        <f t="shared" si="0"/>
        <v>2031</v>
      </c>
      <c r="N2" s="182">
        <f t="shared" si="0"/>
        <v>2032</v>
      </c>
      <c r="O2" s="182">
        <f t="shared" si="0"/>
        <v>2033</v>
      </c>
      <c r="P2" s="182">
        <f t="shared" si="0"/>
        <v>2034</v>
      </c>
      <c r="Q2" s="182">
        <f t="shared" si="0"/>
        <v>2035</v>
      </c>
    </row>
    <row r="3" spans="1:17" s="1" customFormat="1" x14ac:dyDescent="0.2">
      <c r="B3" s="34" t="s">
        <v>108</v>
      </c>
      <c r="C3" s="34"/>
      <c r="D3" s="35"/>
      <c r="E3" s="33">
        <v>45291</v>
      </c>
      <c r="F3" s="33">
        <f>EOMONTH(E3,12)</f>
        <v>45657</v>
      </c>
      <c r="G3" s="57">
        <f t="shared" ref="G3:Q3" si="1">EOMONTH(F3,12)</f>
        <v>46022</v>
      </c>
      <c r="H3" s="57">
        <f t="shared" si="1"/>
        <v>46387</v>
      </c>
      <c r="I3" s="57">
        <f t="shared" si="1"/>
        <v>46752</v>
      </c>
      <c r="J3" s="57">
        <f t="shared" si="1"/>
        <v>47118</v>
      </c>
      <c r="K3" s="57">
        <f t="shared" si="1"/>
        <v>47483</v>
      </c>
      <c r="L3" s="57">
        <f t="shared" si="1"/>
        <v>47848</v>
      </c>
      <c r="M3" s="57">
        <f t="shared" si="1"/>
        <v>48213</v>
      </c>
      <c r="N3" s="57">
        <f t="shared" si="1"/>
        <v>48579</v>
      </c>
      <c r="O3" s="57">
        <f t="shared" si="1"/>
        <v>48944</v>
      </c>
      <c r="P3" s="57">
        <f t="shared" si="1"/>
        <v>49309</v>
      </c>
      <c r="Q3" s="57">
        <f t="shared" si="1"/>
        <v>49674</v>
      </c>
    </row>
    <row r="4" spans="1:17" s="1" customFormat="1" x14ac:dyDescent="0.2"/>
    <row r="5" spans="1:17" s="1" customFormat="1" outlineLevel="1" x14ac:dyDescent="0.2">
      <c r="A5" s="1" t="s">
        <v>22</v>
      </c>
      <c r="B5" s="34" t="s">
        <v>338</v>
      </c>
      <c r="C5" s="78"/>
      <c r="D5" s="78"/>
      <c r="E5" s="78"/>
      <c r="F5" s="78"/>
      <c r="G5" s="78"/>
      <c r="H5" s="78"/>
      <c r="I5" s="78"/>
      <c r="J5" s="78"/>
      <c r="K5" s="78"/>
      <c r="L5" s="78"/>
      <c r="M5" s="78"/>
      <c r="N5" s="78"/>
      <c r="O5" s="78"/>
      <c r="P5" s="78"/>
      <c r="Q5" s="78"/>
    </row>
    <row r="6" spans="1:17" s="1" customFormat="1" outlineLevel="1" x14ac:dyDescent="0.2"/>
    <row r="7" spans="1:17" s="1" customFormat="1" outlineLevel="1" x14ac:dyDescent="0.2">
      <c r="B7" s="193" t="s">
        <v>339</v>
      </c>
      <c r="C7" s="194"/>
    </row>
    <row r="8" spans="1:17" s="1" customFormat="1" outlineLevel="1" x14ac:dyDescent="0.2">
      <c r="B8" s="195" t="s">
        <v>340</v>
      </c>
      <c r="C8" s="68">
        <v>0.18</v>
      </c>
    </row>
    <row r="9" spans="1:17" s="1" customFormat="1" outlineLevel="1" x14ac:dyDescent="0.2">
      <c r="B9" s="195" t="s">
        <v>341</v>
      </c>
      <c r="C9" s="68">
        <v>0.02</v>
      </c>
    </row>
    <row r="10" spans="1:17" s="1" customFormat="1" outlineLevel="1" x14ac:dyDescent="0.2">
      <c r="B10" s="196"/>
      <c r="C10" s="197"/>
    </row>
    <row r="11" spans="1:17" s="1" customFormat="1" outlineLevel="1" x14ac:dyDescent="0.2">
      <c r="B11" s="198" t="s">
        <v>342</v>
      </c>
      <c r="C11" s="199"/>
    </row>
    <row r="12" spans="1:17" s="1" customFormat="1" outlineLevel="1" x14ac:dyDescent="0.2">
      <c r="B12" s="200" t="s">
        <v>360</v>
      </c>
      <c r="C12" s="215">
        <v>4.4999999999999998E-2</v>
      </c>
    </row>
    <row r="13" spans="1:17" s="1" customFormat="1" outlineLevel="1" x14ac:dyDescent="0.2">
      <c r="B13" s="201" t="s">
        <v>343</v>
      </c>
      <c r="C13" s="217">
        <v>0.2</v>
      </c>
    </row>
    <row r="14" spans="1:17" s="1" customFormat="1" outlineLevel="1" x14ac:dyDescent="0.2">
      <c r="B14" s="202" t="s">
        <v>359</v>
      </c>
      <c r="C14" s="216">
        <v>1</v>
      </c>
    </row>
    <row r="15" spans="1:17" s="1" customFormat="1" outlineLevel="1" x14ac:dyDescent="0.2">
      <c r="B15" s="203" t="s">
        <v>344</v>
      </c>
      <c r="C15" s="204">
        <f>C12+(C13*C14)</f>
        <v>0.245</v>
      </c>
    </row>
    <row r="16" spans="1:17" s="1" customFormat="1" outlineLevel="1" x14ac:dyDescent="0.2">
      <c r="B16" s="202" t="s">
        <v>345</v>
      </c>
      <c r="C16" s="217">
        <v>0.09</v>
      </c>
    </row>
    <row r="17" spans="2:17" s="1" customFormat="1" outlineLevel="1" x14ac:dyDescent="0.2">
      <c r="B17" s="202" t="s">
        <v>346</v>
      </c>
      <c r="C17" s="205">
        <f>$C$8</f>
        <v>0.18</v>
      </c>
    </row>
    <row r="18" spans="2:17" s="1" customFormat="1" outlineLevel="1" x14ac:dyDescent="0.2">
      <c r="B18" s="203" t="s">
        <v>347</v>
      </c>
      <c r="C18" s="204">
        <f>C16*(1-C17)</f>
        <v>7.3800000000000004E-2</v>
      </c>
    </row>
    <row r="19" spans="2:17" s="1" customFormat="1" outlineLevel="1" x14ac:dyDescent="0.2">
      <c r="B19" s="202" t="s">
        <v>348</v>
      </c>
      <c r="C19" s="238">
        <v>0.7</v>
      </c>
    </row>
    <row r="20" spans="2:17" s="1" customFormat="1" ht="13.5" outlineLevel="1" thickBot="1" x14ac:dyDescent="0.25">
      <c r="B20" s="206" t="s">
        <v>342</v>
      </c>
      <c r="C20" s="207">
        <f>(C15*C19)+(C18*(1-C19))</f>
        <v>0.19363999999999998</v>
      </c>
    </row>
    <row r="21" spans="2:17" s="1" customFormat="1" ht="13.5" outlineLevel="1" thickTop="1" x14ac:dyDescent="0.2">
      <c r="B21" s="196"/>
      <c r="C21" s="208"/>
    </row>
    <row r="22" spans="2:17" s="213" customFormat="1" outlineLevel="1" x14ac:dyDescent="0.2">
      <c r="B22" s="209" t="s">
        <v>365</v>
      </c>
      <c r="C22" s="208"/>
    </row>
    <row r="23" spans="2:17" s="213" customFormat="1" outlineLevel="1" x14ac:dyDescent="0.2">
      <c r="B23" s="210" t="s">
        <v>366</v>
      </c>
      <c r="C23" s="70">
        <f>Model!I794</f>
        <v>894</v>
      </c>
      <c r="D23" s="236">
        <f>C23/C$25</f>
        <v>0.45288753799392095</v>
      </c>
    </row>
    <row r="24" spans="2:17" s="213" customFormat="1" outlineLevel="1" x14ac:dyDescent="0.2">
      <c r="B24" s="210" t="s">
        <v>367</v>
      </c>
      <c r="C24" s="70">
        <f>Model!I705</f>
        <v>1080</v>
      </c>
      <c r="D24" s="236">
        <f t="shared" ref="D24:D25" si="2">C24/C$25</f>
        <v>0.54711246200607899</v>
      </c>
    </row>
    <row r="25" spans="2:17" s="213" customFormat="1" outlineLevel="1" x14ac:dyDescent="0.2">
      <c r="B25" s="235" t="s">
        <v>368</v>
      </c>
      <c r="C25" s="23">
        <f>SUM(C23:C24)</f>
        <v>1974</v>
      </c>
      <c r="D25" s="237">
        <f t="shared" si="2"/>
        <v>1</v>
      </c>
    </row>
    <row r="26" spans="2:17" s="213" customFormat="1" outlineLevel="1" x14ac:dyDescent="0.2">
      <c r="B26" s="209"/>
      <c r="C26" s="208"/>
    </row>
    <row r="27" spans="2:17" s="1" customFormat="1" outlineLevel="1" x14ac:dyDescent="0.2">
      <c r="B27" s="193" t="s">
        <v>349</v>
      </c>
      <c r="C27" s="194"/>
    </row>
    <row r="28" spans="2:17" s="1" customFormat="1" x14ac:dyDescent="0.2">
      <c r="B28" s="209"/>
      <c r="C28" s="197"/>
    </row>
    <row r="29" spans="2:17" s="1" customFormat="1" x14ac:dyDescent="0.2">
      <c r="B29" s="209" t="s">
        <v>123</v>
      </c>
      <c r="C29" s="197"/>
      <c r="G29" s="13">
        <f>Model!J604</f>
        <v>1032.5389246113527</v>
      </c>
      <c r="H29" s="13">
        <f>Model!K604</f>
        <v>1121.7432425981642</v>
      </c>
      <c r="I29" s="13">
        <f>Model!L604</f>
        <v>1208.4522923461782</v>
      </c>
      <c r="J29" s="13">
        <f>Model!M604</f>
        <v>1290.8224997805519</v>
      </c>
      <c r="K29" s="13">
        <f>Model!N604</f>
        <v>1355.4156604123045</v>
      </c>
      <c r="L29" s="13">
        <f>Model!O604</f>
        <v>1423.008007201264</v>
      </c>
      <c r="M29" s="13">
        <f>Model!P604</f>
        <v>1493.7184812574826</v>
      </c>
      <c r="N29" s="13">
        <f>Model!Q604</f>
        <v>1567.6705573520155</v>
      </c>
      <c r="O29" s="13">
        <f>Model!R604</f>
        <v>1644.2887686490164</v>
      </c>
      <c r="P29" s="13">
        <f>Model!S604</f>
        <v>1723.6278687722504</v>
      </c>
      <c r="Q29" s="13">
        <f>Model!T604</f>
        <v>1806.485318577676</v>
      </c>
    </row>
    <row r="30" spans="2:17" s="1" customFormat="1" x14ac:dyDescent="0.2">
      <c r="B30" s="209" t="s">
        <v>373</v>
      </c>
      <c r="C30" s="197"/>
    </row>
    <row r="31" spans="2:17" x14ac:dyDescent="0.2">
      <c r="B31" s="126" t="s">
        <v>233</v>
      </c>
      <c r="C31" s="221"/>
      <c r="G31" s="13">
        <f>Model!J650</f>
        <v>352.16453953247225</v>
      </c>
      <c r="H31" s="13">
        <f>Model!K650</f>
        <v>355.09461072163157</v>
      </c>
      <c r="I31" s="13">
        <f>Model!L650</f>
        <v>353.52728266222954</v>
      </c>
      <c r="J31" s="13">
        <f>Model!M650</f>
        <v>358.234746317614</v>
      </c>
      <c r="K31" s="13">
        <f>Model!N650</f>
        <v>362.57817292306453</v>
      </c>
      <c r="L31" s="13">
        <f>Model!O650</f>
        <v>370.66827197059314</v>
      </c>
      <c r="M31" s="13">
        <f>Model!P650</f>
        <v>386.0681425821823</v>
      </c>
      <c r="N31" s="13">
        <f>Model!Q650</f>
        <v>403.58113477206803</v>
      </c>
      <c r="O31" s="13">
        <f>Model!R650</f>
        <v>423.27103874643996</v>
      </c>
      <c r="P31" s="13">
        <f>Model!S650</f>
        <v>428.18177338305094</v>
      </c>
      <c r="Q31" s="13">
        <f>Model!T650</f>
        <v>448.0791244822023</v>
      </c>
    </row>
    <row r="32" spans="2:17" x14ac:dyDescent="0.2">
      <c r="B32" s="126" t="s">
        <v>361</v>
      </c>
      <c r="C32" s="221"/>
      <c r="G32" s="13">
        <f t="shared" ref="G32" si="3">-$C$8*G31</f>
        <v>-63.389617115844999</v>
      </c>
      <c r="H32" s="13">
        <f t="shared" ref="H32" si="4">-$C$8*H31</f>
        <v>-63.91702992989368</v>
      </c>
      <c r="I32" s="13">
        <f t="shared" ref="I32" si="5">-$C$8*I31</f>
        <v>-63.634910879201314</v>
      </c>
      <c r="J32" s="13">
        <f t="shared" ref="J32" si="6">-$C$8*J31</f>
        <v>-64.482254337170517</v>
      </c>
      <c r="K32" s="13">
        <f t="shared" ref="K32" si="7">-$C$8*K31</f>
        <v>-65.264071126151606</v>
      </c>
      <c r="L32" s="13">
        <f t="shared" ref="L32" si="8">-$C$8*L31</f>
        <v>-66.72028895470676</v>
      </c>
      <c r="M32" s="13">
        <f t="shared" ref="M32" si="9">-$C$8*M31</f>
        <v>-69.492265664792811</v>
      </c>
      <c r="N32" s="13">
        <f t="shared" ref="N32" si="10">-$C$8*N31</f>
        <v>-72.644604258972237</v>
      </c>
      <c r="O32" s="13">
        <f t="shared" ref="O32" si="11">-$C$8*O31</f>
        <v>-76.188786974359189</v>
      </c>
      <c r="P32" s="13">
        <f t="shared" ref="P32" si="12">-$C$8*P31</f>
        <v>-77.072719208949167</v>
      </c>
      <c r="Q32" s="13">
        <f t="shared" ref="Q32" si="13">-$C$8*Q31</f>
        <v>-80.654242406796413</v>
      </c>
    </row>
    <row r="33" spans="1:19" x14ac:dyDescent="0.2">
      <c r="B33" s="126" t="s">
        <v>362</v>
      </c>
      <c r="C33" s="221"/>
      <c r="G33" s="13">
        <f>SUM(Model!J761:J767)</f>
        <v>45.047882674005649</v>
      </c>
      <c r="H33" s="13">
        <f>SUM(Model!K761:K767)</f>
        <v>27.617278930206599</v>
      </c>
      <c r="I33" s="13">
        <f>SUM(Model!L761:L767)</f>
        <v>28.826156413259049</v>
      </c>
      <c r="J33" s="13">
        <f>SUM(Model!M761:M767)</f>
        <v>25.399728485135164</v>
      </c>
      <c r="K33" s="13">
        <f>SUM(Model!N761:N767)</f>
        <v>19.05113265209928</v>
      </c>
      <c r="L33" s="13">
        <f>SUM(Model!O761:O767)</f>
        <v>18.379641401072675</v>
      </c>
      <c r="M33" s="13">
        <f>SUM(Model!P761:P767)</f>
        <v>15.5692268430947</v>
      </c>
      <c r="N33" s="13">
        <f>SUM(Model!Q761:Q767)</f>
        <v>16.282971703996367</v>
      </c>
      <c r="O33" s="13">
        <f>SUM(Model!R761:R767)</f>
        <v>16.87000869272579</v>
      </c>
      <c r="P33" s="13">
        <f>SUM(Model!S761:S767)</f>
        <v>17.46910148507196</v>
      </c>
      <c r="Q33" s="13">
        <f>SUM(Model!T761:T767)</f>
        <v>18.243781404086732</v>
      </c>
    </row>
    <row r="34" spans="1:19" x14ac:dyDescent="0.2">
      <c r="B34" s="219" t="s">
        <v>350</v>
      </c>
      <c r="C34" s="221"/>
      <c r="G34" s="13">
        <f>-Model!J396</f>
        <v>-238.39886056849463</v>
      </c>
      <c r="H34" s="13">
        <f>-Model!K396</f>
        <v>-255.16108948720267</v>
      </c>
      <c r="I34" s="13">
        <f>-Model!L396</f>
        <v>-270.75450094338424</v>
      </c>
      <c r="J34" s="13">
        <f>-Model!M396</f>
        <v>-280.38625438271231</v>
      </c>
      <c r="K34" s="13">
        <f>-Model!N396</f>
        <v>-285.15200349433542</v>
      </c>
      <c r="L34" s="13">
        <f>-Model!O396</f>
        <v>-289.64517412400414</v>
      </c>
      <c r="M34" s="13">
        <f>-Model!P396</f>
        <v>-293.8276607435605</v>
      </c>
      <c r="N34" s="13">
        <f>-Model!Q396</f>
        <v>-297.65896658582574</v>
      </c>
      <c r="O34" s="13">
        <f>-Model!R396</f>
        <v>-300.96728600841493</v>
      </c>
      <c r="P34" s="13">
        <f>-Model!S396</f>
        <v>-315.48935420818657</v>
      </c>
      <c r="Q34" s="13">
        <f>-Model!T396</f>
        <v>-330.6554140080151</v>
      </c>
      <c r="S34" s="13" t="s">
        <v>40</v>
      </c>
    </row>
    <row r="35" spans="1:19" x14ac:dyDescent="0.2">
      <c r="B35" s="219" t="s">
        <v>113</v>
      </c>
      <c r="C35" s="221"/>
      <c r="G35" s="13">
        <f>-Model!J643</f>
        <v>141.42951409365418</v>
      </c>
      <c r="H35" s="13">
        <f>-Model!K643</f>
        <v>164.31645266522858</v>
      </c>
      <c r="I35" s="13">
        <f>-Model!L643</f>
        <v>187.90668302760071</v>
      </c>
      <c r="J35" s="13">
        <f>-Model!M643</f>
        <v>207.19607399431126</v>
      </c>
      <c r="K35" s="13">
        <f>-Model!N643</f>
        <v>223.0144880918896</v>
      </c>
      <c r="L35" s="13">
        <f>-Model!O643</f>
        <v>238.43489862434353</v>
      </c>
      <c r="M35" s="13">
        <f>-Model!P643</f>
        <v>253.30188085121625</v>
      </c>
      <c r="N35" s="13">
        <f>-Model!Q643</f>
        <v>267.44327415551356</v>
      </c>
      <c r="O35" s="13">
        <f>-Model!R643</f>
        <v>280.54896598253293</v>
      </c>
      <c r="P35" s="13">
        <f>-Model!S643</f>
        <v>309.5984741503575</v>
      </c>
      <c r="Q35" s="13">
        <f>-Model!T643</f>
        <v>325.16735734398168</v>
      </c>
    </row>
    <row r="36" spans="1:19" x14ac:dyDescent="0.2">
      <c r="B36" s="219" t="s">
        <v>114</v>
      </c>
      <c r="C36" s="221"/>
      <c r="G36" s="13">
        <f>-Model!J644</f>
        <v>49.561868381344937</v>
      </c>
      <c r="H36" s="13">
        <f>-Model!K644</f>
        <v>53.84367564471188</v>
      </c>
      <c r="I36" s="13">
        <f>-Model!L644</f>
        <v>58.005710032616548</v>
      </c>
      <c r="J36" s="13">
        <f>-Model!M644</f>
        <v>61.959479989466494</v>
      </c>
      <c r="K36" s="13">
        <f>-Model!N644</f>
        <v>65.059951699790616</v>
      </c>
      <c r="L36" s="13">
        <f>-Model!O644</f>
        <v>68.304384345660679</v>
      </c>
      <c r="M36" s="13">
        <f>-Model!P644</f>
        <v>71.698487100359159</v>
      </c>
      <c r="N36" s="13">
        <f>-Model!Q644</f>
        <v>75.248186752896743</v>
      </c>
      <c r="O36" s="13">
        <f>-Model!R644</f>
        <v>78.925860895152795</v>
      </c>
      <c r="P36" s="13">
        <f>-Model!S644</f>
        <v>82.734137701068022</v>
      </c>
      <c r="Q36" s="13">
        <f>-Model!T644</f>
        <v>86.711295291728447</v>
      </c>
    </row>
    <row r="37" spans="1:19" ht="13.5" thickBot="1" x14ac:dyDescent="0.25">
      <c r="B37" s="220" t="s">
        <v>373</v>
      </c>
      <c r="C37" s="222"/>
      <c r="D37" s="223"/>
      <c r="E37" s="223"/>
      <c r="F37" s="223"/>
      <c r="G37" s="25">
        <f>SUM(G31:G36)</f>
        <v>286.41532699713736</v>
      </c>
      <c r="H37" s="25">
        <f t="shared" ref="H37:Q37" si="14">SUM(H31:H36)</f>
        <v>281.79389854468229</v>
      </c>
      <c r="I37" s="25">
        <f t="shared" si="14"/>
        <v>293.87642031312032</v>
      </c>
      <c r="J37" s="25">
        <f t="shared" si="14"/>
        <v>307.92152006664406</v>
      </c>
      <c r="K37" s="25">
        <f t="shared" si="14"/>
        <v>319.28767074635704</v>
      </c>
      <c r="L37" s="25">
        <f t="shared" si="14"/>
        <v>339.42173326295915</v>
      </c>
      <c r="M37" s="25">
        <f t="shared" si="14"/>
        <v>363.31781096849915</v>
      </c>
      <c r="N37" s="25">
        <f t="shared" si="14"/>
        <v>392.25199653967678</v>
      </c>
      <c r="O37" s="25">
        <f t="shared" si="14"/>
        <v>422.45980133407738</v>
      </c>
      <c r="P37" s="25">
        <f t="shared" si="14"/>
        <v>445.4214133024127</v>
      </c>
      <c r="Q37" s="25">
        <f t="shared" si="14"/>
        <v>466.89190210718766</v>
      </c>
      <c r="S37" s="13" t="s">
        <v>382</v>
      </c>
    </row>
    <row r="38" spans="1:19" s="98" customFormat="1" ht="13.5" thickTop="1" x14ac:dyDescent="0.2">
      <c r="A38" s="58"/>
      <c r="B38" s="229" t="s">
        <v>148</v>
      </c>
      <c r="C38" s="230"/>
      <c r="G38" s="99"/>
      <c r="H38" s="99">
        <f>IFERROR(H37/G37-1,"")</f>
        <v>-1.6135409026142189E-2</v>
      </c>
      <c r="I38" s="99">
        <f t="shared" ref="I38:Q38" si="15">IFERROR(I37/H37-1,"")</f>
        <v>4.2877158912375091E-2</v>
      </c>
      <c r="J38" s="99">
        <f t="shared" si="15"/>
        <v>4.7792537211930552E-2</v>
      </c>
      <c r="K38" s="99">
        <f t="shared" si="15"/>
        <v>3.6912492109200334E-2</v>
      </c>
      <c r="L38" s="99">
        <f t="shared" si="15"/>
        <v>6.3059317228057576E-2</v>
      </c>
      <c r="M38" s="99">
        <f t="shared" si="15"/>
        <v>7.0402320664089801E-2</v>
      </c>
      <c r="N38" s="99">
        <f t="shared" si="15"/>
        <v>7.963877546781295E-2</v>
      </c>
      <c r="O38" s="99">
        <f t="shared" si="15"/>
        <v>7.7011219983287083E-2</v>
      </c>
      <c r="P38" s="99">
        <f t="shared" si="15"/>
        <v>5.4352181901864416E-2</v>
      </c>
      <c r="Q38" s="99">
        <f t="shared" si="15"/>
        <v>4.8202641731096785E-2</v>
      </c>
    </row>
    <row r="39" spans="1:19" s="98" customFormat="1" x14ac:dyDescent="0.2">
      <c r="A39" s="58"/>
      <c r="B39" s="229" t="s">
        <v>363</v>
      </c>
      <c r="C39" s="230"/>
      <c r="G39" s="99">
        <f>G37/G29</f>
        <v>0.27738937503488692</v>
      </c>
      <c r="H39" s="99">
        <f>H37/H29</f>
        <v>0.25121069407291069</v>
      </c>
      <c r="I39" s="99">
        <f t="shared" ref="I39:Q39" si="16">I37/I29</f>
        <v>0.24318413078812323</v>
      </c>
      <c r="J39" s="99">
        <f t="shared" si="16"/>
        <v>0.23854675613338991</v>
      </c>
      <c r="K39" s="99">
        <f t="shared" si="16"/>
        <v>0.23556439553696226</v>
      </c>
      <c r="L39" s="99">
        <f t="shared" si="16"/>
        <v>0.23852412041624782</v>
      </c>
      <c r="M39" s="99">
        <f t="shared" si="16"/>
        <v>0.24323044504520094</v>
      </c>
      <c r="N39" s="99">
        <f t="shared" si="16"/>
        <v>0.25021328282278749</v>
      </c>
      <c r="O39" s="99">
        <f t="shared" si="16"/>
        <v>0.25692555309562781</v>
      </c>
      <c r="P39" s="99">
        <f t="shared" si="16"/>
        <v>0.25842086994084684</v>
      </c>
      <c r="Q39" s="99">
        <f t="shared" si="16"/>
        <v>0.25845319488939539</v>
      </c>
    </row>
    <row r="40" spans="1:19" x14ac:dyDescent="0.2">
      <c r="B40" s="218"/>
      <c r="C40" s="221"/>
    </row>
    <row r="41" spans="1:19" x14ac:dyDescent="0.2">
      <c r="B41" s="218" t="s">
        <v>364</v>
      </c>
      <c r="C41" s="231">
        <v>46023</v>
      </c>
    </row>
    <row r="42" spans="1:19" x14ac:dyDescent="0.2">
      <c r="B42" s="211"/>
      <c r="C42" s="221"/>
    </row>
    <row r="43" spans="1:19" x14ac:dyDescent="0.2">
      <c r="B43" s="67" t="s">
        <v>351</v>
      </c>
      <c r="C43" s="224"/>
      <c r="G43" s="13">
        <f t="shared" ref="G43:Q43" si="17">IF(F43&gt;0,F43+1,IF($C$41&gt;G$3,0,1))</f>
        <v>0</v>
      </c>
      <c r="H43" s="13">
        <f t="shared" si="17"/>
        <v>1</v>
      </c>
      <c r="I43" s="13">
        <f t="shared" si="17"/>
        <v>2</v>
      </c>
      <c r="J43" s="13">
        <f t="shared" si="17"/>
        <v>3</v>
      </c>
      <c r="K43" s="13">
        <f t="shared" si="17"/>
        <v>4</v>
      </c>
      <c r="L43" s="13">
        <f t="shared" si="17"/>
        <v>5</v>
      </c>
      <c r="M43" s="13">
        <f t="shared" si="17"/>
        <v>6</v>
      </c>
      <c r="N43" s="13">
        <f t="shared" si="17"/>
        <v>7</v>
      </c>
      <c r="O43" s="13">
        <f t="shared" si="17"/>
        <v>8</v>
      </c>
      <c r="P43" s="13">
        <f t="shared" si="17"/>
        <v>9</v>
      </c>
      <c r="Q43" s="13">
        <f t="shared" si="17"/>
        <v>10</v>
      </c>
    </row>
    <row r="44" spans="1:19" x14ac:dyDescent="0.2">
      <c r="B44" s="67" t="s">
        <v>352</v>
      </c>
      <c r="C44" s="224"/>
      <c r="G44" s="13">
        <f>IF(G43&gt;0,G37,0)</f>
        <v>0</v>
      </c>
      <c r="H44" s="13">
        <f t="shared" ref="H44:Q44" si="18">IF(H43&gt;0,H37,0)</f>
        <v>281.79389854468229</v>
      </c>
      <c r="I44" s="13">
        <f t="shared" si="18"/>
        <v>293.87642031312032</v>
      </c>
      <c r="J44" s="13">
        <f t="shared" si="18"/>
        <v>307.92152006664406</v>
      </c>
      <c r="K44" s="13">
        <f t="shared" si="18"/>
        <v>319.28767074635704</v>
      </c>
      <c r="L44" s="13">
        <f t="shared" si="18"/>
        <v>339.42173326295915</v>
      </c>
      <c r="M44" s="13">
        <f t="shared" si="18"/>
        <v>363.31781096849915</v>
      </c>
      <c r="N44" s="13">
        <f t="shared" si="18"/>
        <v>392.25199653967678</v>
      </c>
      <c r="O44" s="13">
        <f t="shared" si="18"/>
        <v>422.45980133407738</v>
      </c>
      <c r="P44" s="13">
        <f t="shared" si="18"/>
        <v>445.4214133024127</v>
      </c>
      <c r="Q44" s="13">
        <f t="shared" si="18"/>
        <v>466.89190210718766</v>
      </c>
    </row>
    <row r="45" spans="1:19" x14ac:dyDescent="0.2">
      <c r="B45" s="67" t="s">
        <v>353</v>
      </c>
      <c r="C45" s="224"/>
      <c r="G45" s="13">
        <f t="shared" ref="G45:Q45" si="19">IF(G43&gt;0,1/(1+$C$20)^G$43,0)</f>
        <v>0</v>
      </c>
      <c r="H45" s="234">
        <f>IF(H43&gt;0,1/(1+$C$20)^H$43,0)</f>
        <v>0.83777353305854363</v>
      </c>
      <c r="I45" s="234">
        <f t="shared" si="19"/>
        <v>0.70186449269339457</v>
      </c>
      <c r="J45" s="234">
        <f t="shared" si="19"/>
        <v>0.58800349577208755</v>
      </c>
      <c r="K45" s="234">
        <f t="shared" si="19"/>
        <v>0.49261376610375612</v>
      </c>
      <c r="L45" s="234">
        <f t="shared" si="19"/>
        <v>0.41269877526201876</v>
      </c>
      <c r="M45" s="234">
        <f t="shared" si="19"/>
        <v>0.34574811104019532</v>
      </c>
      <c r="N45" s="234">
        <f t="shared" si="19"/>
        <v>0.28965861653446212</v>
      </c>
      <c r="O45" s="234">
        <f t="shared" si="19"/>
        <v>0.24266832255492612</v>
      </c>
      <c r="P45" s="234">
        <f t="shared" si="19"/>
        <v>0.20330109794823073</v>
      </c>
      <c r="Q45" s="234">
        <f t="shared" si="19"/>
        <v>0.17032027910277028</v>
      </c>
    </row>
    <row r="46" spans="1:19" s="17" customFormat="1" ht="13.5" thickBot="1" x14ac:dyDescent="0.25">
      <c r="A46" s="2"/>
      <c r="B46" s="232" t="s">
        <v>354</v>
      </c>
      <c r="C46" s="233"/>
      <c r="D46" s="25"/>
      <c r="E46" s="25"/>
      <c r="F46" s="25"/>
      <c r="G46" s="25">
        <f>IFERROR(G44*G45,0)</f>
        <v>0</v>
      </c>
      <c r="H46" s="25">
        <f t="shared" ref="H46:Q46" si="20">IFERROR(H44*H45,0)</f>
        <v>236.07946997811928</v>
      </c>
      <c r="I46" s="25">
        <f t="shared" si="20"/>
        <v>206.26142465761899</v>
      </c>
      <c r="J46" s="25">
        <f t="shared" si="20"/>
        <v>181.05893022264172</v>
      </c>
      <c r="K46" s="25">
        <f t="shared" si="20"/>
        <v>157.28550195685901</v>
      </c>
      <c r="L46" s="25">
        <f t="shared" si="20"/>
        <v>140.07893361493487</v>
      </c>
      <c r="M46" s="25">
        <f t="shared" si="20"/>
        <v>125.61644684961733</v>
      </c>
      <c r="N46" s="25">
        <f t="shared" si="20"/>
        <v>113.6191706505634</v>
      </c>
      <c r="O46" s="25">
        <f t="shared" si="20"/>
        <v>102.51761133662789</v>
      </c>
      <c r="P46" s="25">
        <f t="shared" si="20"/>
        <v>90.554662374033171</v>
      </c>
      <c r="Q46" s="25">
        <f t="shared" si="20"/>
        <v>79.521159077719503</v>
      </c>
    </row>
    <row r="47" spans="1:19" ht="13.5" thickTop="1" x14ac:dyDescent="0.2">
      <c r="B47" s="195"/>
      <c r="C47" s="224"/>
    </row>
    <row r="48" spans="1:19" x14ac:dyDescent="0.2">
      <c r="B48" s="212" t="s">
        <v>355</v>
      </c>
      <c r="C48" s="225">
        <f>SUM(G46:Q46)</f>
        <v>1432.593310718735</v>
      </c>
    </row>
    <row r="49" spans="2:16" x14ac:dyDescent="0.2">
      <c r="B49" s="213"/>
      <c r="C49" s="226"/>
    </row>
    <row r="50" spans="2:16" x14ac:dyDescent="0.2">
      <c r="B50" s="195" t="s">
        <v>356</v>
      </c>
      <c r="C50" s="227">
        <f>(Q37*(1+$C$9)/($C$20-$C$9))</f>
        <v>2742.6269301389739</v>
      </c>
      <c r="D50" s="21"/>
    </row>
    <row r="51" spans="2:16" x14ac:dyDescent="0.2">
      <c r="B51" s="195" t="s">
        <v>357</v>
      </c>
      <c r="C51" s="227">
        <f>C50*Q45</f>
        <v>467.12498421604408</v>
      </c>
    </row>
    <row r="52" spans="2:16" x14ac:dyDescent="0.2">
      <c r="B52" s="214" t="s">
        <v>358</v>
      </c>
      <c r="C52" s="442">
        <f>-6*35</f>
        <v>-210</v>
      </c>
      <c r="D52" s="13" t="s">
        <v>1003</v>
      </c>
    </row>
    <row r="53" spans="2:16" ht="13.5" thickBot="1" x14ac:dyDescent="0.25">
      <c r="B53" s="239" t="s">
        <v>369</v>
      </c>
      <c r="C53" s="441">
        <f>SUM(C50:C52)</f>
        <v>2999.751914355018</v>
      </c>
    </row>
    <row r="54" spans="2:16" x14ac:dyDescent="0.2">
      <c r="B54" s="1" t="s">
        <v>370</v>
      </c>
      <c r="C54" s="70">
        <f>-Model!J794</f>
        <v>-329</v>
      </c>
    </row>
    <row r="55" spans="2:16" ht="13.5" thickBot="1" x14ac:dyDescent="0.25">
      <c r="B55" s="36" t="s">
        <v>371</v>
      </c>
      <c r="C55" s="70">
        <f>-Model!J795</f>
        <v>654.98936795356803</v>
      </c>
    </row>
    <row r="56" spans="2:16" ht="13.5" thickBot="1" x14ac:dyDescent="0.25">
      <c r="B56" s="2" t="s">
        <v>372</v>
      </c>
      <c r="C56" s="228">
        <f>SUM(C53:C55)</f>
        <v>3325.7412823085861</v>
      </c>
    </row>
    <row r="57" spans="2:16" x14ac:dyDescent="0.2">
      <c r="B57" s="1" t="s">
        <v>390</v>
      </c>
      <c r="C57" s="443">
        <f>Summary!$D$10</f>
        <v>230.86352299999999</v>
      </c>
    </row>
    <row r="58" spans="2:16" x14ac:dyDescent="0.2">
      <c r="B58" s="2" t="s">
        <v>389</v>
      </c>
      <c r="C58" s="89">
        <f>C56/C57</f>
        <v>14.405659409037893</v>
      </c>
    </row>
    <row r="60" spans="2:16" x14ac:dyDescent="0.2">
      <c r="C60" s="17" t="s">
        <v>495</v>
      </c>
      <c r="D60" s="17" t="s">
        <v>389</v>
      </c>
    </row>
    <row r="61" spans="2:16" x14ac:dyDescent="0.2">
      <c r="B61" s="1" t="s">
        <v>493</v>
      </c>
      <c r="C61" s="422">
        <v>0.5</v>
      </c>
      <c r="D61" s="548">
        <v>14.4</v>
      </c>
    </row>
    <row r="62" spans="2:16" x14ac:dyDescent="0.2">
      <c r="B62" s="1" t="s">
        <v>494</v>
      </c>
      <c r="C62" s="583">
        <f>1-C61</f>
        <v>0.5</v>
      </c>
      <c r="D62" s="548">
        <v>18.3</v>
      </c>
      <c r="J62" s="21"/>
      <c r="K62" s="52"/>
      <c r="L62" s="52"/>
      <c r="M62" s="52"/>
      <c r="N62" s="52"/>
      <c r="O62" s="52"/>
      <c r="P62" s="52"/>
    </row>
    <row r="63" spans="2:16" ht="13.5" thickBot="1" x14ac:dyDescent="0.25">
      <c r="B63" s="4" t="s">
        <v>389</v>
      </c>
      <c r="C63" s="49"/>
      <c r="D63" s="549">
        <f>SUMPRODUCT(D61:D62,C61:C62)</f>
        <v>16.350000000000001</v>
      </c>
      <c r="J63" s="52"/>
      <c r="K63" s="234"/>
      <c r="L63" s="234"/>
      <c r="M63" s="234"/>
      <c r="N63" s="234"/>
      <c r="O63" s="234"/>
      <c r="P63" s="234"/>
    </row>
    <row r="64" spans="2:16" x14ac:dyDescent="0.2">
      <c r="J64" s="52"/>
      <c r="K64" s="234"/>
      <c r="L64" s="234"/>
      <c r="M64" s="234"/>
      <c r="N64" s="234"/>
      <c r="O64" s="234"/>
      <c r="P64" s="234"/>
    </row>
    <row r="65" spans="6:16" x14ac:dyDescent="0.2">
      <c r="J65" s="52"/>
      <c r="K65" s="234"/>
      <c r="L65" s="234"/>
      <c r="M65" s="234"/>
      <c r="N65" s="234"/>
      <c r="O65" s="234"/>
      <c r="P65" s="234"/>
    </row>
    <row r="66" spans="6:16" x14ac:dyDescent="0.2">
      <c r="J66" s="52"/>
      <c r="K66" s="234"/>
      <c r="L66" s="234"/>
      <c r="M66" s="234"/>
      <c r="N66" s="234"/>
      <c r="O66" s="234"/>
      <c r="P66" s="234"/>
    </row>
    <row r="67" spans="6:16" x14ac:dyDescent="0.2">
      <c r="J67" s="52"/>
      <c r="K67" s="234"/>
      <c r="L67" s="234"/>
      <c r="M67" s="234"/>
      <c r="N67" s="234"/>
      <c r="O67" s="234"/>
      <c r="P67" s="234"/>
    </row>
    <row r="68" spans="6:16" x14ac:dyDescent="0.2">
      <c r="G68" s="17"/>
      <c r="H68" s="17"/>
    </row>
    <row r="69" spans="6:16" x14ac:dyDescent="0.2">
      <c r="G69" s="52"/>
      <c r="H69" s="21"/>
    </row>
    <row r="70" spans="6:16" x14ac:dyDescent="0.2">
      <c r="F70" s="21"/>
      <c r="G70" s="52"/>
      <c r="H70" s="21"/>
    </row>
    <row r="71" spans="6:16" x14ac:dyDescent="0.2">
      <c r="G71" s="52"/>
      <c r="H71" s="21"/>
    </row>
    <row r="72" spans="6:16" x14ac:dyDescent="0.2">
      <c r="G72" s="52"/>
      <c r="H72" s="21"/>
    </row>
    <row r="73" spans="6:16" x14ac:dyDescent="0.2">
      <c r="G73" s="52"/>
      <c r="H73" s="21"/>
    </row>
    <row r="74" spans="6:16" x14ac:dyDescent="0.2">
      <c r="G74" s="52"/>
      <c r="H74" s="21"/>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Drop Down 4">
              <controlPr defaultSize="0" autoLine="0" autoPict="0">
                <anchor moveWithCells="1">
                  <from>
                    <xdr:col>2</xdr:col>
                    <xdr:colOff>47625</xdr:colOff>
                    <xdr:row>1</xdr:row>
                    <xdr:rowOff>95250</xdr:rowOff>
                  </from>
                  <to>
                    <xdr:col>4</xdr:col>
                    <xdr:colOff>0</xdr:colOff>
                    <xdr:row>2</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7433-463B-4C61-A9A8-E48299DEDD2F}">
  <sheetPr>
    <tabColor rgb="FF0000FF"/>
  </sheetPr>
  <dimension ref="A1:W157"/>
  <sheetViews>
    <sheetView zoomScale="85" zoomScaleNormal="85" workbookViewId="0">
      <pane xSplit="4" ySplit="3" topLeftCell="K4" activePane="bottomRight" state="frozen"/>
      <selection pane="topRight" activeCell="E1" sqref="E1"/>
      <selection pane="bottomLeft" activeCell="A4" sqref="A4"/>
      <selection pane="bottomRight" activeCell="P18" sqref="P18"/>
    </sheetView>
  </sheetViews>
  <sheetFormatPr defaultColWidth="10.42578125" defaultRowHeight="12.75" x14ac:dyDescent="0.2"/>
  <cols>
    <col min="1" max="1" width="2.42578125" style="8" customWidth="1"/>
    <col min="2" max="2" width="2.28515625" style="1" customWidth="1"/>
    <col min="3" max="3" width="44" style="1" bestFit="1" customWidth="1"/>
    <col min="4" max="4" width="8.85546875" style="8" customWidth="1"/>
    <col min="5" max="7" width="9.85546875" style="8" bestFit="1" customWidth="1"/>
    <col min="8" max="16384" width="10.42578125" style="13"/>
  </cols>
  <sheetData>
    <row r="1" spans="1:22" s="1" customFormat="1" x14ac:dyDescent="0.2">
      <c r="A1" s="8"/>
      <c r="D1" s="8"/>
      <c r="E1" s="8"/>
      <c r="F1" s="8"/>
      <c r="G1" s="8"/>
    </row>
    <row r="2" spans="1:22" s="2" customFormat="1" x14ac:dyDescent="0.2">
      <c r="A2" s="10"/>
      <c r="B2" s="34" t="s">
        <v>107</v>
      </c>
      <c r="C2" s="34"/>
      <c r="D2" s="35"/>
      <c r="E2" s="34">
        <v>2020</v>
      </c>
      <c r="F2" s="34">
        <f>E2+1</f>
        <v>2021</v>
      </c>
      <c r="G2" s="34">
        <f>F2+1</f>
        <v>2022</v>
      </c>
      <c r="H2" s="34">
        <f>G2+1</f>
        <v>2023</v>
      </c>
      <c r="I2" s="34">
        <f>H2+1</f>
        <v>2024</v>
      </c>
      <c r="K2" s="32" t="str">
        <f>IF(MONTH(K$3)=3,"1Q"&amp;RIGHT(YEAR(K$3),2),IF(MONTH(K$3)=6,"2Q"&amp;RIGHT(YEAR(K$3),2),IF(MONTH(K$3)=9,"3Q"&amp;RIGHT(YEAR(K$3),2),IF(MONTH(K$3)=12,"4Q"&amp;RIGHT(YEAR(K$3),2),"nm"))))</f>
        <v>1Q23</v>
      </c>
      <c r="L2" s="32" t="str">
        <f>IF(MONTH(L$3)=3,"1Q"&amp;RIGHT(YEAR(L$3),2),IF(MONTH(L$3)=6,"2Q"&amp;RIGHT(YEAR(L$3),2),IF(MONTH(L$3)=9,"3Q"&amp;RIGHT(YEAR(L$3),2),IF(MONTH(L$3)=12,"4Q"&amp;RIGHT(YEAR(L$3),2),"nm"))))</f>
        <v>2Q23</v>
      </c>
      <c r="M2" s="32" t="str">
        <f t="shared" ref="M2:N2" si="0">IF(MONTH(M$3)=3,"1Q"&amp;RIGHT(YEAR(M$3),2),IF(MONTH(M$3)=6,"2Q"&amp;RIGHT(YEAR(M$3),2),IF(MONTH(M$3)=9,"3Q"&amp;RIGHT(YEAR(M$3),2),IF(MONTH(M$3)=12,"4Q"&amp;RIGHT(YEAR(M$3),2),"nm"))))</f>
        <v>3Q23</v>
      </c>
      <c r="N2" s="32" t="str">
        <f t="shared" si="0"/>
        <v>4Q23</v>
      </c>
      <c r="O2" s="32" t="str">
        <f>IF(MONTH(O$3)=3,"1Q"&amp;RIGHT(YEAR(O$3),2),IF(MONTH(O$3)=6,"2Q"&amp;RIGHT(YEAR(O$3),2),IF(MONTH(O$3)=9,"3Q"&amp;RIGHT(YEAR(O$3),2),IF(MONTH(O$3)=12,"4Q"&amp;RIGHT(YEAR(O$3),2),"nm"))))</f>
        <v>1Q24</v>
      </c>
      <c r="P2" s="32" t="str">
        <f t="shared" ref="P2:T2" si="1">IF(MONTH(P$3)=3,"1Q"&amp;RIGHT(YEAR(P$3),2),IF(MONTH(P$3)=6,"2Q"&amp;RIGHT(YEAR(P$3),2),IF(MONTH(P$3)=9,"3Q"&amp;RIGHT(YEAR(P$3),2),IF(MONTH(P$3)=12,"4Q"&amp;RIGHT(YEAR(P$3),2),"nm"))))</f>
        <v>2Q24</v>
      </c>
      <c r="Q2" s="32" t="str">
        <f t="shared" si="1"/>
        <v>3Q24</v>
      </c>
      <c r="R2" s="32" t="str">
        <f t="shared" si="1"/>
        <v>4Q24</v>
      </c>
      <c r="S2" s="32" t="str">
        <f t="shared" si="1"/>
        <v>1Q25</v>
      </c>
      <c r="T2" s="32" t="str">
        <f t="shared" si="1"/>
        <v>2Q25</v>
      </c>
    </row>
    <row r="3" spans="1:22" s="2" customFormat="1" x14ac:dyDescent="0.2">
      <c r="A3" s="10"/>
      <c r="B3" s="34" t="s">
        <v>108</v>
      </c>
      <c r="C3" s="34"/>
      <c r="D3" s="35"/>
      <c r="E3" s="33">
        <v>44196</v>
      </c>
      <c r="F3" s="33">
        <f>EOMONTH(E3,12)</f>
        <v>44561</v>
      </c>
      <c r="G3" s="33">
        <f>EOMONTH(F3,12)</f>
        <v>44926</v>
      </c>
      <c r="H3" s="33">
        <f>EOMONTH(G3,12)</f>
        <v>45291</v>
      </c>
      <c r="I3" s="33">
        <f>EOMONTH(H3,12)</f>
        <v>45657</v>
      </c>
      <c r="K3" s="33">
        <v>45016</v>
      </c>
      <c r="L3" s="33">
        <f>EOMONTH(K3,3)</f>
        <v>45107</v>
      </c>
      <c r="M3" s="33">
        <f t="shared" ref="M3:O3" si="2">EOMONTH(L3,3)</f>
        <v>45199</v>
      </c>
      <c r="N3" s="33">
        <f t="shared" si="2"/>
        <v>45291</v>
      </c>
      <c r="O3" s="33">
        <f t="shared" si="2"/>
        <v>45382</v>
      </c>
      <c r="P3" s="33">
        <f>EOMONTH(O3,3)</f>
        <v>45473</v>
      </c>
      <c r="Q3" s="33">
        <f t="shared" ref="Q3:T3" si="3">EOMONTH(P3,3)</f>
        <v>45565</v>
      </c>
      <c r="R3" s="33">
        <f t="shared" si="3"/>
        <v>45657</v>
      </c>
      <c r="S3" s="33">
        <f t="shared" si="3"/>
        <v>45747</v>
      </c>
      <c r="T3" s="33">
        <f t="shared" si="3"/>
        <v>45838</v>
      </c>
    </row>
    <row r="4" spans="1:22" s="1" customFormat="1" x14ac:dyDescent="0.2">
      <c r="A4" s="8" t="s">
        <v>22</v>
      </c>
      <c r="B4" s="37" t="s">
        <v>29</v>
      </c>
      <c r="C4" s="6"/>
      <c r="D4" s="26"/>
      <c r="E4" s="26"/>
      <c r="F4" s="26"/>
      <c r="G4" s="26"/>
      <c r="H4" s="6"/>
      <c r="I4" s="6"/>
      <c r="J4" s="6"/>
      <c r="K4" s="6"/>
      <c r="L4" s="6"/>
      <c r="M4" s="6"/>
      <c r="N4" s="6"/>
      <c r="O4" s="6"/>
      <c r="P4" s="6"/>
      <c r="Q4" s="6"/>
      <c r="R4" s="6"/>
      <c r="S4" s="6"/>
      <c r="T4" s="6"/>
    </row>
    <row r="5" spans="1:22" s="1" customFormat="1" x14ac:dyDescent="0.2">
      <c r="A5" s="8"/>
      <c r="D5" s="8"/>
      <c r="E5" s="8"/>
      <c r="F5" s="8"/>
      <c r="G5" s="8"/>
      <c r="H5" s="11"/>
      <c r="I5" s="11"/>
    </row>
    <row r="6" spans="1:22" x14ac:dyDescent="0.2">
      <c r="C6" s="1" t="s">
        <v>30</v>
      </c>
      <c r="H6" s="12">
        <v>7042184</v>
      </c>
      <c r="I6" s="12">
        <v>5596753</v>
      </c>
      <c r="K6" s="12"/>
      <c r="L6" s="12"/>
      <c r="M6" s="12"/>
      <c r="N6" s="12"/>
      <c r="O6" s="12">
        <v>6661541</v>
      </c>
      <c r="S6" s="12">
        <v>6190506</v>
      </c>
      <c r="T6" s="12"/>
    </row>
    <row r="7" spans="1:22" s="21" customFormat="1" x14ac:dyDescent="0.2">
      <c r="A7" s="20"/>
      <c r="C7" s="21" t="s">
        <v>31</v>
      </c>
      <c r="D7" s="20" t="s">
        <v>109</v>
      </c>
      <c r="E7" s="22">
        <v>2.7801265572634191</v>
      </c>
      <c r="F7" s="22">
        <v>3.1339415241168722</v>
      </c>
      <c r="G7" s="22">
        <v>2.9356913361767396</v>
      </c>
      <c r="H7" s="22">
        <v>2.9</v>
      </c>
      <c r="I7" s="22">
        <v>3</v>
      </c>
      <c r="K7" s="22"/>
      <c r="L7" s="22"/>
      <c r="M7" s="22"/>
      <c r="N7" s="22"/>
      <c r="O7" s="22">
        <v>2.39</v>
      </c>
      <c r="S7" s="22">
        <v>3.37</v>
      </c>
      <c r="T7" s="22"/>
      <c r="U7" s="21">
        <f>S7/O7-1</f>
        <v>0.41004184100418417</v>
      </c>
    </row>
    <row r="8" spans="1:22" x14ac:dyDescent="0.2">
      <c r="C8" s="1" t="s">
        <v>32</v>
      </c>
      <c r="E8" s="12">
        <v>25875719</v>
      </c>
      <c r="F8" s="12">
        <v>26183252</v>
      </c>
      <c r="G8" s="12">
        <v>24752362</v>
      </c>
      <c r="H8" s="12">
        <v>23910607</v>
      </c>
      <c r="I8" s="12">
        <v>23009719</v>
      </c>
      <c r="K8" s="12"/>
      <c r="L8" s="12"/>
      <c r="M8" s="12"/>
      <c r="N8" s="12"/>
      <c r="O8" s="12">
        <v>23861405</v>
      </c>
      <c r="S8" s="12">
        <v>22685397</v>
      </c>
      <c r="T8" s="12"/>
    </row>
    <row r="9" spans="1:22" x14ac:dyDescent="0.2">
      <c r="C9" s="1" t="s">
        <v>33</v>
      </c>
      <c r="E9" s="12">
        <v>2100000</v>
      </c>
      <c r="F9" s="12">
        <v>3100000</v>
      </c>
      <c r="G9" s="12">
        <v>3500000</v>
      </c>
      <c r="H9" s="12">
        <v>4094242</v>
      </c>
      <c r="I9" s="12">
        <v>6149846</v>
      </c>
      <c r="K9" s="12"/>
      <c r="L9" s="12"/>
      <c r="M9" s="12"/>
      <c r="N9" s="12"/>
      <c r="O9" s="12">
        <v>4348871</v>
      </c>
      <c r="S9" s="12">
        <v>6119685</v>
      </c>
      <c r="T9" s="12"/>
    </row>
    <row r="10" spans="1:22" x14ac:dyDescent="0.2">
      <c r="C10" s="1" t="s">
        <v>34</v>
      </c>
      <c r="H10" s="12">
        <v>8159305</v>
      </c>
      <c r="I10" s="12">
        <v>10572761</v>
      </c>
      <c r="K10" s="12"/>
      <c r="L10" s="12"/>
      <c r="M10" s="12"/>
      <c r="N10" s="12"/>
      <c r="O10" s="12">
        <v>7743958</v>
      </c>
      <c r="S10" s="12">
        <v>10291620</v>
      </c>
      <c r="T10" s="12"/>
    </row>
    <row r="12" spans="1:22" x14ac:dyDescent="0.2">
      <c r="C12" s="1" t="s">
        <v>321</v>
      </c>
      <c r="K12" s="190">
        <v>6.7</v>
      </c>
      <c r="L12" s="190">
        <v>6.5</v>
      </c>
      <c r="M12" s="190">
        <v>7.1</v>
      </c>
      <c r="N12" s="190">
        <v>8.1999999999999993</v>
      </c>
      <c r="O12" s="190">
        <v>7.7</v>
      </c>
      <c r="P12" s="190">
        <v>8.8000000000000007</v>
      </c>
      <c r="Q12" s="190">
        <v>9</v>
      </c>
      <c r="R12" s="190">
        <v>10.6</v>
      </c>
      <c r="S12" s="190">
        <v>10.3</v>
      </c>
      <c r="T12" s="190"/>
      <c r="V12" s="13" t="s">
        <v>322</v>
      </c>
    </row>
    <row r="16" spans="1:22" x14ac:dyDescent="0.2">
      <c r="A16" s="8" t="s">
        <v>22</v>
      </c>
      <c r="B16" s="37" t="s">
        <v>18</v>
      </c>
      <c r="C16" s="6"/>
      <c r="D16" s="26"/>
      <c r="E16" s="26"/>
      <c r="F16" s="26"/>
      <c r="G16" s="26"/>
      <c r="H16" s="14"/>
      <c r="I16" s="14"/>
      <c r="J16" s="14"/>
      <c r="K16" s="14"/>
      <c r="L16" s="14"/>
      <c r="M16" s="14"/>
      <c r="N16" s="14"/>
      <c r="O16" s="14"/>
      <c r="P16" s="14"/>
      <c r="Q16" s="14"/>
      <c r="R16" s="14"/>
      <c r="S16" s="14"/>
      <c r="T16" s="14"/>
    </row>
    <row r="18" spans="1:23" s="15" customFormat="1" x14ac:dyDescent="0.2">
      <c r="A18" s="9"/>
      <c r="B18" s="3"/>
      <c r="C18" s="3" t="s">
        <v>0</v>
      </c>
      <c r="D18" s="9"/>
      <c r="E18" s="9"/>
      <c r="F18" s="9"/>
      <c r="G18" s="9"/>
      <c r="H18" s="12">
        <v>911</v>
      </c>
      <c r="I18" s="12">
        <v>915</v>
      </c>
      <c r="K18" s="12"/>
      <c r="L18" s="12"/>
      <c r="M18" s="12"/>
      <c r="N18" s="12"/>
      <c r="O18" s="12">
        <v>185</v>
      </c>
      <c r="S18" s="12">
        <v>254</v>
      </c>
      <c r="T18" s="12"/>
    </row>
    <row r="19" spans="1:23" x14ac:dyDescent="0.2">
      <c r="C19" s="1" t="s">
        <v>1</v>
      </c>
      <c r="H19" s="12">
        <v>4</v>
      </c>
      <c r="I19" s="12">
        <v>4</v>
      </c>
      <c r="K19" s="12"/>
      <c r="L19" s="12"/>
      <c r="M19" s="12"/>
      <c r="N19" s="12"/>
      <c r="O19" s="12">
        <v>1</v>
      </c>
      <c r="S19" s="12">
        <v>1</v>
      </c>
      <c r="T19" s="12"/>
    </row>
    <row r="20" spans="1:23" s="17" customFormat="1" x14ac:dyDescent="0.2">
      <c r="A20" s="10"/>
      <c r="B20" s="2"/>
      <c r="C20" s="4" t="s">
        <v>2</v>
      </c>
      <c r="D20" s="27"/>
      <c r="E20" s="27"/>
      <c r="F20" s="27"/>
      <c r="G20" s="27"/>
      <c r="H20" s="16">
        <v>915</v>
      </c>
      <c r="I20" s="16">
        <v>919</v>
      </c>
      <c r="K20" s="16"/>
      <c r="L20" s="16"/>
      <c r="M20" s="16"/>
      <c r="N20" s="16"/>
      <c r="O20" s="16">
        <v>186</v>
      </c>
      <c r="P20" s="16">
        <v>235</v>
      </c>
      <c r="Q20" s="23"/>
      <c r="R20" s="23"/>
      <c r="S20" s="16">
        <v>255</v>
      </c>
      <c r="T20" s="16">
        <v>284</v>
      </c>
      <c r="W20" s="254">
        <f>S20/O20-1</f>
        <v>0.37096774193548376</v>
      </c>
    </row>
    <row r="21" spans="1:23" x14ac:dyDescent="0.2">
      <c r="C21" s="1" t="s">
        <v>3</v>
      </c>
      <c r="H21" s="12">
        <v>1</v>
      </c>
      <c r="I21" s="12">
        <v>1</v>
      </c>
      <c r="K21" s="12"/>
      <c r="L21" s="12"/>
      <c r="M21" s="12"/>
      <c r="N21" s="12"/>
      <c r="O21" s="12"/>
      <c r="S21" s="12"/>
      <c r="T21" s="12"/>
    </row>
    <row r="22" spans="1:23" x14ac:dyDescent="0.2">
      <c r="C22" s="1" t="s">
        <v>4</v>
      </c>
      <c r="H22" s="12">
        <v>-94</v>
      </c>
      <c r="I22" s="12">
        <v>-100</v>
      </c>
      <c r="K22" s="12"/>
      <c r="L22" s="12"/>
      <c r="M22" s="12"/>
      <c r="N22" s="12"/>
      <c r="O22" s="12">
        <v>-24</v>
      </c>
      <c r="S22" s="12">
        <v>-24</v>
      </c>
      <c r="T22" s="12"/>
    </row>
    <row r="23" spans="1:23" x14ac:dyDescent="0.2">
      <c r="C23" s="1" t="s">
        <v>5</v>
      </c>
      <c r="H23" s="12">
        <v>-284</v>
      </c>
      <c r="I23" s="12">
        <v>-305</v>
      </c>
      <c r="K23" s="12"/>
      <c r="L23" s="12"/>
      <c r="M23" s="12"/>
      <c r="N23" s="12"/>
      <c r="O23" s="12">
        <v>-69</v>
      </c>
      <c r="S23" s="12">
        <v>-91</v>
      </c>
      <c r="T23" s="12"/>
    </row>
    <row r="24" spans="1:23" x14ac:dyDescent="0.2">
      <c r="C24" s="1" t="s">
        <v>6</v>
      </c>
      <c r="H24" s="12">
        <v>-127</v>
      </c>
      <c r="I24" s="12">
        <v>-118</v>
      </c>
      <c r="K24" s="12"/>
      <c r="L24" s="12"/>
      <c r="M24" s="12"/>
      <c r="N24" s="12"/>
      <c r="O24" s="12">
        <v>-31</v>
      </c>
      <c r="P24" s="13">
        <v>-28</v>
      </c>
      <c r="S24" s="12">
        <v>-31</v>
      </c>
      <c r="T24" s="12">
        <v>-35</v>
      </c>
    </row>
    <row r="25" spans="1:23" x14ac:dyDescent="0.2">
      <c r="C25" s="1" t="s">
        <v>7</v>
      </c>
      <c r="H25" s="12">
        <v>-49</v>
      </c>
      <c r="I25" s="12">
        <v>-45</v>
      </c>
      <c r="K25" s="12"/>
      <c r="L25" s="12"/>
      <c r="M25" s="12"/>
      <c r="N25" s="12"/>
      <c r="O25" s="12">
        <v>-12</v>
      </c>
      <c r="P25" s="13">
        <v>-10</v>
      </c>
      <c r="S25" s="12">
        <v>-13</v>
      </c>
      <c r="T25" s="12">
        <v>-16</v>
      </c>
    </row>
    <row r="26" spans="1:23" x14ac:dyDescent="0.2">
      <c r="C26" s="1" t="s">
        <v>8</v>
      </c>
      <c r="H26" s="12">
        <v>-1</v>
      </c>
      <c r="I26" s="12">
        <v>-3</v>
      </c>
      <c r="K26" s="12"/>
      <c r="L26" s="12"/>
      <c r="M26" s="12"/>
      <c r="N26" s="12"/>
      <c r="O26" s="12">
        <v>-1</v>
      </c>
      <c r="P26" s="13">
        <v>-1</v>
      </c>
      <c r="S26" s="12">
        <v>-2</v>
      </c>
      <c r="T26" s="12">
        <v>-2</v>
      </c>
    </row>
    <row r="27" spans="1:23" x14ac:dyDescent="0.2">
      <c r="C27" s="1" t="s">
        <v>9</v>
      </c>
      <c r="H27" s="12">
        <v>2</v>
      </c>
      <c r="I27" s="12">
        <v>-1</v>
      </c>
    </row>
    <row r="28" spans="1:23" s="17" customFormat="1" x14ac:dyDescent="0.2">
      <c r="A28" s="10"/>
      <c r="B28" s="2"/>
      <c r="C28" s="4" t="s">
        <v>10</v>
      </c>
      <c r="D28" s="27"/>
      <c r="E28" s="27"/>
      <c r="F28" s="27"/>
      <c r="G28" s="27"/>
      <c r="H28" s="16">
        <v>363</v>
      </c>
      <c r="I28" s="16">
        <v>348</v>
      </c>
      <c r="K28" s="16"/>
      <c r="L28" s="16"/>
      <c r="M28" s="16"/>
      <c r="N28" s="16"/>
      <c r="O28" s="16">
        <v>49</v>
      </c>
      <c r="P28" s="23">
        <f>P33-SUM(P29:P32)</f>
        <v>100</v>
      </c>
      <c r="Q28" s="23"/>
      <c r="R28" s="23"/>
      <c r="S28" s="16">
        <v>94</v>
      </c>
      <c r="T28" s="23">
        <f>T33-SUM(T29:T32)</f>
        <v>107</v>
      </c>
    </row>
    <row r="29" spans="1:23" x14ac:dyDescent="0.2">
      <c r="C29" s="1" t="s">
        <v>11</v>
      </c>
      <c r="H29" s="12">
        <v>-82</v>
      </c>
      <c r="I29" s="12">
        <v>-82</v>
      </c>
      <c r="K29" s="12"/>
      <c r="L29" s="12"/>
      <c r="M29" s="12"/>
      <c r="N29" s="12"/>
      <c r="O29" s="12">
        <v>-21</v>
      </c>
      <c r="P29" s="12">
        <v>-21</v>
      </c>
      <c r="S29" s="12">
        <v>-21</v>
      </c>
      <c r="T29" s="12">
        <v>-18</v>
      </c>
    </row>
    <row r="30" spans="1:23" x14ac:dyDescent="0.2">
      <c r="C30" s="1" t="s">
        <v>12</v>
      </c>
      <c r="H30" s="12">
        <v>35</v>
      </c>
      <c r="I30" s="12">
        <v>40</v>
      </c>
      <c r="K30" s="12"/>
      <c r="L30" s="12"/>
      <c r="M30" s="12"/>
      <c r="N30" s="12"/>
      <c r="O30" s="12">
        <v>8</v>
      </c>
      <c r="P30" s="12">
        <v>8</v>
      </c>
      <c r="S30" s="12">
        <v>7</v>
      </c>
      <c r="T30" s="12">
        <v>4</v>
      </c>
    </row>
    <row r="31" spans="1:23" x14ac:dyDescent="0.2">
      <c r="C31" s="1" t="s">
        <v>13</v>
      </c>
      <c r="H31" s="12">
        <v>-8</v>
      </c>
      <c r="I31" s="12">
        <v>2</v>
      </c>
      <c r="K31" s="12"/>
      <c r="L31" s="12"/>
      <c r="M31" s="12"/>
      <c r="N31" s="12"/>
      <c r="O31" s="12">
        <v>1</v>
      </c>
      <c r="P31" s="12">
        <v>0</v>
      </c>
      <c r="S31" s="12">
        <v>-1</v>
      </c>
      <c r="T31" s="12">
        <v>2</v>
      </c>
    </row>
    <row r="32" spans="1:23" x14ac:dyDescent="0.2">
      <c r="C32" s="1" t="s">
        <v>14</v>
      </c>
      <c r="H32" s="12">
        <v>38</v>
      </c>
      <c r="I32" s="12">
        <v>39</v>
      </c>
      <c r="K32" s="12"/>
      <c r="L32" s="12"/>
      <c r="M32" s="12"/>
      <c r="N32" s="12"/>
      <c r="O32" s="12">
        <v>8</v>
      </c>
      <c r="P32" s="12">
        <v>2</v>
      </c>
      <c r="S32" s="12">
        <v>-21</v>
      </c>
      <c r="T32" s="12">
        <v>8</v>
      </c>
    </row>
    <row r="33" spans="1:22" s="17" customFormat="1" x14ac:dyDescent="0.2">
      <c r="A33" s="10"/>
      <c r="B33" s="2"/>
      <c r="C33" s="2" t="s">
        <v>15</v>
      </c>
      <c r="D33" s="10"/>
      <c r="E33" s="10"/>
      <c r="F33" s="10"/>
      <c r="G33" s="10"/>
      <c r="H33" s="24">
        <v>346</v>
      </c>
      <c r="I33" s="24">
        <v>347</v>
      </c>
      <c r="K33" s="24"/>
      <c r="L33" s="24"/>
      <c r="M33" s="24"/>
      <c r="N33" s="24"/>
      <c r="O33" s="24">
        <v>45</v>
      </c>
      <c r="P33" s="24">
        <v>89</v>
      </c>
      <c r="S33" s="24">
        <v>58</v>
      </c>
      <c r="T33" s="24">
        <v>103</v>
      </c>
    </row>
    <row r="34" spans="1:22" x14ac:dyDescent="0.2">
      <c r="C34" s="1" t="s">
        <v>16</v>
      </c>
      <c r="H34" s="12">
        <v>-65</v>
      </c>
      <c r="I34" s="12">
        <v>-64</v>
      </c>
      <c r="K34" s="12"/>
      <c r="L34" s="12"/>
      <c r="M34" s="12"/>
      <c r="N34" s="12"/>
      <c r="O34" s="12">
        <v>-9</v>
      </c>
      <c r="P34" s="13">
        <v>-17</v>
      </c>
      <c r="S34" s="12">
        <v>-14</v>
      </c>
      <c r="T34" s="12">
        <v>-21</v>
      </c>
    </row>
    <row r="35" spans="1:22" ht="13.5" thickBot="1" x14ac:dyDescent="0.25">
      <c r="C35" s="5" t="s">
        <v>17</v>
      </c>
      <c r="D35" s="28"/>
      <c r="E35" s="28"/>
      <c r="F35" s="28"/>
      <c r="G35" s="28"/>
      <c r="H35" s="18">
        <v>281</v>
      </c>
      <c r="I35" s="18">
        <v>283</v>
      </c>
      <c r="K35" s="18"/>
      <c r="L35" s="18"/>
      <c r="M35" s="18"/>
      <c r="N35" s="18"/>
      <c r="O35" s="18">
        <v>36</v>
      </c>
      <c r="P35" s="18">
        <v>72</v>
      </c>
      <c r="Q35" s="25"/>
      <c r="R35" s="25"/>
      <c r="S35" s="18">
        <v>44</v>
      </c>
      <c r="T35" s="18">
        <v>82</v>
      </c>
      <c r="V35" s="234">
        <f>S35/O35-1</f>
        <v>0.22222222222222232</v>
      </c>
    </row>
    <row r="36" spans="1:22" ht="13.5" thickTop="1" x14ac:dyDescent="0.2"/>
    <row r="37" spans="1:22" x14ac:dyDescent="0.2">
      <c r="C37" s="2" t="s">
        <v>19</v>
      </c>
    </row>
    <row r="38" spans="1:22" x14ac:dyDescent="0.2">
      <c r="C38" s="7" t="s">
        <v>20</v>
      </c>
      <c r="D38" s="29"/>
      <c r="E38" s="29"/>
      <c r="F38" s="29"/>
      <c r="G38" s="29"/>
      <c r="H38" s="19">
        <f>IFERROR((H28-SUM(H20:H27)),"")</f>
        <v>0</v>
      </c>
      <c r="I38" s="19">
        <f>IFERROR((I28-SUM(I20:I27)),"")</f>
        <v>0</v>
      </c>
      <c r="K38" s="19"/>
      <c r="L38" s="19"/>
      <c r="M38" s="19"/>
      <c r="N38" s="19"/>
      <c r="O38" s="19">
        <f>IFERROR((O28-SUM(O20:O27)),"")</f>
        <v>0</v>
      </c>
      <c r="P38" s="19">
        <f t="shared" ref="P38:S38" si="4">IFERROR((P28-SUM(P20:P27)),"")</f>
        <v>-96</v>
      </c>
      <c r="Q38" s="19">
        <f t="shared" si="4"/>
        <v>0</v>
      </c>
      <c r="R38" s="19">
        <f t="shared" si="4"/>
        <v>0</v>
      </c>
      <c r="S38" s="19">
        <f t="shared" si="4"/>
        <v>0</v>
      </c>
      <c r="T38" s="19">
        <f t="shared" ref="T38" si="5">IFERROR((T28-SUM(T20:T27)),"")</f>
        <v>-124</v>
      </c>
    </row>
    <row r="39" spans="1:22" x14ac:dyDescent="0.2">
      <c r="C39" s="7" t="s">
        <v>21</v>
      </c>
      <c r="D39" s="29"/>
      <c r="E39" s="29"/>
      <c r="F39" s="29"/>
      <c r="G39" s="29"/>
      <c r="H39" s="19">
        <f>IFERROR((H35-SUM(H28:H32)-H34),"")</f>
        <v>0</v>
      </c>
      <c r="I39" s="19">
        <f>IFERROR((I35-SUM(I28:I32)-I34),"")</f>
        <v>0</v>
      </c>
      <c r="K39" s="19"/>
      <c r="L39" s="19"/>
      <c r="M39" s="19"/>
      <c r="N39" s="19"/>
      <c r="O39" s="19">
        <f>IFERROR((O35-SUM(O28:O32)-O34),"")</f>
        <v>0</v>
      </c>
      <c r="P39" s="19">
        <f t="shared" ref="P39:R39" si="6">IFERROR((P35-SUM(P28:P32)-P34),"")</f>
        <v>0</v>
      </c>
      <c r="Q39" s="19">
        <f t="shared" si="6"/>
        <v>0</v>
      </c>
      <c r="R39" s="19">
        <f t="shared" si="6"/>
        <v>0</v>
      </c>
      <c r="S39" s="19">
        <f>IFERROR((S35-SUM(S28:S32)-S34),"")</f>
        <v>0</v>
      </c>
      <c r="T39" s="19">
        <f>IFERROR((T35-SUM(T28:T32)-T34),"")</f>
        <v>0</v>
      </c>
    </row>
    <row r="41" spans="1:22" x14ac:dyDescent="0.2">
      <c r="B41" s="2" t="s">
        <v>24</v>
      </c>
    </row>
    <row r="42" spans="1:22" x14ac:dyDescent="0.2">
      <c r="B42" s="2"/>
      <c r="C42" s="1" t="s">
        <v>0</v>
      </c>
      <c r="H42" s="12">
        <v>911</v>
      </c>
      <c r="I42" s="12">
        <v>915</v>
      </c>
      <c r="K42" s="12"/>
      <c r="L42" s="12"/>
      <c r="M42" s="12"/>
      <c r="N42" s="12"/>
      <c r="O42" s="12">
        <v>185</v>
      </c>
      <c r="S42" s="12">
        <v>254</v>
      </c>
      <c r="T42" s="12"/>
    </row>
    <row r="43" spans="1:22" x14ac:dyDescent="0.2">
      <c r="B43" s="2"/>
      <c r="C43" s="1" t="s">
        <v>25</v>
      </c>
      <c r="H43" s="12">
        <v>859</v>
      </c>
      <c r="I43" s="12">
        <v>865</v>
      </c>
      <c r="K43" s="12"/>
      <c r="L43" s="12"/>
      <c r="M43" s="12"/>
      <c r="N43" s="12"/>
      <c r="O43" s="12">
        <v>174</v>
      </c>
      <c r="S43" s="12">
        <v>240</v>
      </c>
      <c r="T43" s="12"/>
      <c r="V43" s="234">
        <f>S43/O43-1</f>
        <v>0.3793103448275863</v>
      </c>
    </row>
    <row r="44" spans="1:22" x14ac:dyDescent="0.2">
      <c r="C44" s="1" t="s">
        <v>26</v>
      </c>
      <c r="H44" s="12">
        <v>52</v>
      </c>
      <c r="I44" s="12">
        <v>50</v>
      </c>
      <c r="K44" s="12"/>
      <c r="L44" s="12"/>
      <c r="M44" s="12"/>
      <c r="N44" s="12"/>
      <c r="O44" s="12">
        <v>11</v>
      </c>
      <c r="S44" s="12">
        <v>14</v>
      </c>
      <c r="T44" s="12"/>
    </row>
    <row r="45" spans="1:22" x14ac:dyDescent="0.2">
      <c r="C45" s="1" t="s">
        <v>27</v>
      </c>
      <c r="H45" s="12">
        <v>4</v>
      </c>
      <c r="I45" s="12">
        <v>4</v>
      </c>
      <c r="K45" s="12"/>
      <c r="L45" s="12"/>
      <c r="M45" s="12"/>
      <c r="N45" s="12"/>
      <c r="O45" s="12">
        <v>1</v>
      </c>
      <c r="S45" s="12">
        <v>1</v>
      </c>
      <c r="T45" s="12"/>
    </row>
    <row r="46" spans="1:22" s="17" customFormat="1" x14ac:dyDescent="0.2">
      <c r="A46" s="10"/>
      <c r="B46" s="2"/>
      <c r="C46" s="2" t="s">
        <v>28</v>
      </c>
      <c r="D46" s="10"/>
      <c r="E46" s="10"/>
      <c r="F46" s="10"/>
      <c r="G46" s="10"/>
      <c r="H46" s="24">
        <v>915</v>
      </c>
      <c r="I46" s="24">
        <v>919</v>
      </c>
      <c r="K46" s="24"/>
      <c r="L46" s="24"/>
      <c r="M46" s="24"/>
      <c r="N46" s="24"/>
      <c r="O46" s="17">
        <f>O20</f>
        <v>186</v>
      </c>
      <c r="P46" s="17">
        <f>P20</f>
        <v>235</v>
      </c>
      <c r="S46" s="17">
        <f>S20</f>
        <v>255</v>
      </c>
      <c r="T46" s="17">
        <f>T20</f>
        <v>284</v>
      </c>
    </row>
    <row r="48" spans="1:22" x14ac:dyDescent="0.2">
      <c r="B48" s="2" t="s">
        <v>110</v>
      </c>
    </row>
    <row r="50" spans="1:23" s="17" customFormat="1" x14ac:dyDescent="0.2">
      <c r="A50" s="10"/>
      <c r="B50" s="2"/>
      <c r="C50" s="2" t="s">
        <v>10</v>
      </c>
      <c r="D50" s="10"/>
      <c r="E50" s="10"/>
      <c r="F50" s="10"/>
      <c r="G50" s="10"/>
      <c r="H50" s="17">
        <f>H28</f>
        <v>363</v>
      </c>
      <c r="I50" s="17">
        <f>I28</f>
        <v>348</v>
      </c>
      <c r="O50" s="17">
        <f>O28</f>
        <v>49</v>
      </c>
      <c r="P50" s="17">
        <f>P28</f>
        <v>100</v>
      </c>
      <c r="S50" s="17">
        <f>S28</f>
        <v>94</v>
      </c>
      <c r="T50" s="17">
        <f>T28</f>
        <v>107</v>
      </c>
      <c r="V50" s="17" t="s">
        <v>111</v>
      </c>
    </row>
    <row r="51" spans="1:23" x14ac:dyDescent="0.2">
      <c r="C51" s="36" t="s">
        <v>113</v>
      </c>
      <c r="H51" s="13">
        <f>-H24</f>
        <v>127</v>
      </c>
      <c r="I51" s="13">
        <f>-I24</f>
        <v>118</v>
      </c>
      <c r="O51" s="13">
        <f>-O24</f>
        <v>31</v>
      </c>
      <c r="P51" s="13">
        <f>-P24</f>
        <v>28</v>
      </c>
      <c r="S51" s="13">
        <f>-S24</f>
        <v>31</v>
      </c>
      <c r="T51" s="13">
        <f>-T24</f>
        <v>35</v>
      </c>
    </row>
    <row r="52" spans="1:23" x14ac:dyDescent="0.2">
      <c r="C52" s="36" t="s">
        <v>114</v>
      </c>
      <c r="H52" s="13">
        <f t="shared" ref="H52:I54" si="7">-H25</f>
        <v>49</v>
      </c>
      <c r="I52" s="13">
        <f t="shared" si="7"/>
        <v>45</v>
      </c>
      <c r="O52" s="13">
        <f t="shared" ref="O52:P52" si="8">-O25</f>
        <v>12</v>
      </c>
      <c r="P52" s="13">
        <f t="shared" si="8"/>
        <v>10</v>
      </c>
      <c r="S52" s="13">
        <f t="shared" ref="S52:T52" si="9">-S25</f>
        <v>13</v>
      </c>
      <c r="T52" s="13">
        <f t="shared" si="9"/>
        <v>16</v>
      </c>
    </row>
    <row r="53" spans="1:23" x14ac:dyDescent="0.2">
      <c r="C53" s="36" t="s">
        <v>115</v>
      </c>
      <c r="H53" s="13">
        <f t="shared" si="7"/>
        <v>1</v>
      </c>
      <c r="I53" s="13">
        <f t="shared" si="7"/>
        <v>3</v>
      </c>
      <c r="O53" s="13">
        <f t="shared" ref="O53:P53" si="10">-O26</f>
        <v>1</v>
      </c>
      <c r="P53" s="13">
        <f t="shared" si="10"/>
        <v>1</v>
      </c>
      <c r="S53" s="13">
        <f t="shared" ref="S53:T53" si="11">-S26</f>
        <v>2</v>
      </c>
      <c r="T53" s="13">
        <f t="shared" si="11"/>
        <v>2</v>
      </c>
    </row>
    <row r="54" spans="1:23" x14ac:dyDescent="0.2">
      <c r="C54" s="1" t="s">
        <v>9</v>
      </c>
      <c r="H54" s="13">
        <f t="shared" si="7"/>
        <v>-2</v>
      </c>
      <c r="I54" s="13">
        <f t="shared" si="7"/>
        <v>1</v>
      </c>
      <c r="O54" s="13">
        <f t="shared" ref="O54:P54" si="12">-O27</f>
        <v>0</v>
      </c>
      <c r="P54" s="13">
        <f t="shared" si="12"/>
        <v>0</v>
      </c>
      <c r="S54" s="13">
        <f t="shared" ref="S54:T54" si="13">-S27</f>
        <v>0</v>
      </c>
      <c r="T54" s="13">
        <f t="shared" si="13"/>
        <v>0</v>
      </c>
    </row>
    <row r="55" spans="1:23" s="17" customFormat="1" x14ac:dyDescent="0.2">
      <c r="A55" s="10"/>
      <c r="B55" s="2"/>
      <c r="C55" s="4" t="s">
        <v>112</v>
      </c>
      <c r="D55" s="27"/>
      <c r="E55" s="27"/>
      <c r="F55" s="27"/>
      <c r="G55" s="27"/>
      <c r="H55" s="23">
        <f>SUM(H50:H54)</f>
        <v>538</v>
      </c>
      <c r="I55" s="23">
        <f>SUM(I50:I54)</f>
        <v>515</v>
      </c>
      <c r="K55" s="23"/>
      <c r="L55" s="23"/>
      <c r="M55" s="23"/>
      <c r="N55" s="23"/>
      <c r="O55" s="23">
        <f>SUM(O50:O54)</f>
        <v>93</v>
      </c>
      <c r="P55" s="16">
        <v>139</v>
      </c>
      <c r="Q55" s="23"/>
      <c r="R55" s="23"/>
      <c r="S55" s="23">
        <f>SUM(S50:S54)</f>
        <v>140</v>
      </c>
      <c r="T55" s="16">
        <v>165</v>
      </c>
      <c r="W55" s="508">
        <f>S55/O55-1</f>
        <v>0.5053763440860215</v>
      </c>
    </row>
    <row r="56" spans="1:23" x14ac:dyDescent="0.2">
      <c r="O56" s="52">
        <f>O55/O46</f>
        <v>0.5</v>
      </c>
      <c r="P56" s="52">
        <f>P55/P46</f>
        <v>0.59148936170212763</v>
      </c>
      <c r="Q56" s="52"/>
      <c r="R56" s="52"/>
      <c r="S56" s="52">
        <f>S55/S46</f>
        <v>0.5490196078431373</v>
      </c>
      <c r="T56" s="52">
        <f>T55/T46</f>
        <v>0.58098591549295775</v>
      </c>
    </row>
    <row r="57" spans="1:23" x14ac:dyDescent="0.2">
      <c r="B57" s="2" t="s">
        <v>35</v>
      </c>
    </row>
    <row r="58" spans="1:23" x14ac:dyDescent="0.2">
      <c r="C58" s="1" t="s">
        <v>36</v>
      </c>
      <c r="H58" s="12">
        <v>207</v>
      </c>
      <c r="I58" s="12">
        <v>237</v>
      </c>
      <c r="K58" s="12"/>
      <c r="L58" s="12"/>
      <c r="M58" s="12"/>
      <c r="N58" s="12"/>
      <c r="O58" s="12">
        <v>40</v>
      </c>
      <c r="S58" s="12">
        <v>85</v>
      </c>
      <c r="T58" s="12"/>
    </row>
    <row r="59" spans="1:23" x14ac:dyDescent="0.2">
      <c r="C59" s="1" t="s">
        <v>37</v>
      </c>
      <c r="H59" s="12">
        <v>50</v>
      </c>
      <c r="I59" s="12">
        <v>94</v>
      </c>
      <c r="K59" s="12"/>
      <c r="L59" s="12"/>
      <c r="M59" s="12"/>
      <c r="N59" s="12"/>
      <c r="O59" s="12">
        <v>9</v>
      </c>
      <c r="S59" s="12">
        <v>9</v>
      </c>
      <c r="T59" s="12"/>
    </row>
    <row r="60" spans="1:23" x14ac:dyDescent="0.2">
      <c r="C60" s="1" t="s">
        <v>38</v>
      </c>
      <c r="H60" s="12">
        <v>0</v>
      </c>
      <c r="I60" s="12">
        <v>35</v>
      </c>
      <c r="K60" s="12"/>
      <c r="L60" s="12"/>
      <c r="M60" s="12"/>
      <c r="N60" s="12"/>
      <c r="O60" s="12">
        <v>0</v>
      </c>
      <c r="S60" s="12">
        <v>0</v>
      </c>
      <c r="T60" s="12"/>
    </row>
    <row r="61" spans="1:23" x14ac:dyDescent="0.2">
      <c r="C61" s="1" t="s">
        <v>39</v>
      </c>
      <c r="H61" s="12">
        <v>102</v>
      </c>
      <c r="I61" s="12">
        <v>75</v>
      </c>
      <c r="K61" s="12"/>
      <c r="L61" s="12"/>
      <c r="M61" s="12"/>
      <c r="N61" s="12"/>
      <c r="O61" s="12">
        <v>24</v>
      </c>
      <c r="S61" s="12">
        <v>43</v>
      </c>
      <c r="T61" s="12"/>
    </row>
    <row r="62" spans="1:23" s="17" customFormat="1" x14ac:dyDescent="0.2">
      <c r="A62" s="10"/>
      <c r="B62" s="2"/>
      <c r="C62" s="4" t="s">
        <v>40</v>
      </c>
      <c r="D62" s="27"/>
      <c r="E62" s="27"/>
      <c r="F62" s="27"/>
      <c r="G62" s="27"/>
      <c r="H62" s="16">
        <v>155</v>
      </c>
      <c r="I62" s="16">
        <v>221</v>
      </c>
      <c r="J62" s="23"/>
      <c r="K62" s="16"/>
      <c r="L62" s="16"/>
      <c r="M62" s="16"/>
      <c r="N62" s="16"/>
      <c r="O62" s="16">
        <v>25</v>
      </c>
      <c r="P62" s="23"/>
      <c r="Q62" s="23"/>
      <c r="R62" s="23"/>
      <c r="S62" s="16">
        <v>51</v>
      </c>
      <c r="T62" s="16"/>
    </row>
    <row r="64" spans="1:23" x14ac:dyDescent="0.2">
      <c r="A64" s="8" t="s">
        <v>22</v>
      </c>
      <c r="B64" s="37" t="s">
        <v>23</v>
      </c>
      <c r="C64" s="6"/>
      <c r="D64" s="26"/>
      <c r="E64" s="26"/>
      <c r="F64" s="26"/>
      <c r="G64" s="26"/>
      <c r="H64" s="14"/>
      <c r="I64" s="14"/>
      <c r="J64" s="14"/>
      <c r="K64" s="14"/>
      <c r="L64" s="14"/>
      <c r="M64" s="14"/>
      <c r="N64" s="14"/>
      <c r="O64" s="14"/>
      <c r="P64" s="14"/>
      <c r="Q64" s="14"/>
      <c r="R64" s="14"/>
      <c r="S64" s="14"/>
      <c r="T64" s="14"/>
    </row>
    <row r="66" spans="1:20" s="17" customFormat="1" x14ac:dyDescent="0.2">
      <c r="A66" s="10"/>
      <c r="B66" s="2"/>
      <c r="C66" s="2" t="s">
        <v>41</v>
      </c>
      <c r="D66" s="10"/>
      <c r="E66" s="10"/>
      <c r="F66" s="10"/>
      <c r="G66" s="10"/>
    </row>
    <row r="67" spans="1:20" s="17" customFormat="1" x14ac:dyDescent="0.2">
      <c r="A67" s="10"/>
      <c r="B67" s="2"/>
      <c r="C67" s="2" t="s">
        <v>42</v>
      </c>
      <c r="D67" s="10"/>
      <c r="E67" s="10"/>
      <c r="F67" s="10"/>
      <c r="G67" s="10"/>
    </row>
    <row r="68" spans="1:20" x14ac:dyDescent="0.2">
      <c r="C68" s="1" t="s">
        <v>43</v>
      </c>
      <c r="H68" s="12">
        <v>597</v>
      </c>
      <c r="I68" s="12">
        <v>624</v>
      </c>
      <c r="S68" s="12">
        <v>703</v>
      </c>
      <c r="T68" s="12"/>
    </row>
    <row r="69" spans="1:20" x14ac:dyDescent="0.2">
      <c r="C69" s="1" t="s">
        <v>44</v>
      </c>
      <c r="H69" s="12">
        <v>272</v>
      </c>
      <c r="I69" s="12">
        <v>297</v>
      </c>
      <c r="S69" s="12">
        <v>297</v>
      </c>
      <c r="T69" s="12"/>
    </row>
    <row r="70" spans="1:20" x14ac:dyDescent="0.2">
      <c r="C70" s="1" t="s">
        <v>45</v>
      </c>
      <c r="H70" s="12">
        <v>343</v>
      </c>
      <c r="I70" s="12">
        <v>0</v>
      </c>
      <c r="S70" s="12"/>
      <c r="T70" s="12"/>
    </row>
    <row r="71" spans="1:20" x14ac:dyDescent="0.2">
      <c r="C71" s="1" t="s">
        <v>46</v>
      </c>
      <c r="H71" s="12">
        <v>67</v>
      </c>
      <c r="I71" s="12">
        <v>80</v>
      </c>
      <c r="S71" s="12">
        <v>61</v>
      </c>
      <c r="T71" s="12"/>
    </row>
    <row r="72" spans="1:20" s="17" customFormat="1" x14ac:dyDescent="0.2">
      <c r="A72" s="10"/>
      <c r="B72" s="2"/>
      <c r="C72" s="2" t="s">
        <v>47</v>
      </c>
      <c r="D72" s="10"/>
      <c r="E72" s="10"/>
      <c r="F72" s="10"/>
      <c r="G72" s="10"/>
      <c r="H72" s="24">
        <v>1279</v>
      </c>
      <c r="I72" s="24">
        <v>1001</v>
      </c>
      <c r="S72" s="24">
        <v>1061</v>
      </c>
      <c r="T72" s="24"/>
    </row>
    <row r="73" spans="1:20" s="17" customFormat="1" x14ac:dyDescent="0.2">
      <c r="A73" s="10"/>
      <c r="B73" s="2"/>
      <c r="C73" s="2"/>
      <c r="D73" s="10"/>
      <c r="E73" s="10"/>
      <c r="F73" s="10"/>
      <c r="G73" s="10"/>
    </row>
    <row r="74" spans="1:20" s="17" customFormat="1" x14ac:dyDescent="0.2">
      <c r="A74" s="10"/>
      <c r="B74" s="2"/>
      <c r="C74" s="2" t="s">
        <v>48</v>
      </c>
      <c r="D74" s="10"/>
      <c r="E74" s="10"/>
      <c r="F74" s="10"/>
      <c r="G74" s="10"/>
    </row>
    <row r="75" spans="1:20" x14ac:dyDescent="0.2">
      <c r="C75" s="1" t="s">
        <v>49</v>
      </c>
      <c r="H75" s="12">
        <v>4</v>
      </c>
      <c r="I75" s="12">
        <v>3</v>
      </c>
      <c r="S75" s="12">
        <v>3</v>
      </c>
      <c r="T75" s="12"/>
    </row>
    <row r="76" spans="1:20" x14ac:dyDescent="0.2">
      <c r="C76" s="1" t="s">
        <v>50</v>
      </c>
      <c r="H76" s="12">
        <v>55</v>
      </c>
      <c r="I76" s="12">
        <v>40</v>
      </c>
      <c r="S76" s="12">
        <v>38</v>
      </c>
      <c r="T76" s="12"/>
    </row>
    <row r="77" spans="1:20" x14ac:dyDescent="0.2">
      <c r="C77" s="1" t="s">
        <v>45</v>
      </c>
      <c r="H77" s="12">
        <v>0</v>
      </c>
      <c r="I77" s="12">
        <v>363</v>
      </c>
      <c r="S77" s="12">
        <v>369</v>
      </c>
      <c r="T77" s="12"/>
    </row>
    <row r="78" spans="1:20" x14ac:dyDescent="0.2">
      <c r="C78" s="1" t="s">
        <v>51</v>
      </c>
      <c r="H78" s="12">
        <v>0</v>
      </c>
      <c r="I78" s="12">
        <v>8</v>
      </c>
      <c r="S78" s="12">
        <v>0</v>
      </c>
      <c r="T78" s="12"/>
    </row>
    <row r="79" spans="1:20" x14ac:dyDescent="0.2">
      <c r="C79" s="1" t="s">
        <v>592</v>
      </c>
      <c r="H79" s="12"/>
      <c r="I79" s="12"/>
      <c r="S79" s="12">
        <v>32</v>
      </c>
      <c r="T79" s="12"/>
    </row>
    <row r="80" spans="1:20" x14ac:dyDescent="0.2">
      <c r="C80" s="1" t="s">
        <v>52</v>
      </c>
      <c r="H80" s="12">
        <v>207</v>
      </c>
      <c r="I80" s="12">
        <v>94</v>
      </c>
      <c r="S80" s="12">
        <v>105</v>
      </c>
      <c r="T80" s="12"/>
    </row>
    <row r="81" spans="1:20" x14ac:dyDescent="0.2">
      <c r="C81" s="1" t="s">
        <v>46</v>
      </c>
      <c r="H81" s="12">
        <v>13</v>
      </c>
      <c r="I81" s="12">
        <v>26</v>
      </c>
      <c r="S81" s="12">
        <v>32</v>
      </c>
      <c r="T81" s="12"/>
    </row>
    <row r="82" spans="1:20" x14ac:dyDescent="0.2">
      <c r="C82" s="1" t="s">
        <v>53</v>
      </c>
      <c r="H82" s="12">
        <v>425</v>
      </c>
      <c r="I82" s="12">
        <v>674</v>
      </c>
      <c r="S82" s="12">
        <v>712</v>
      </c>
      <c r="T82" s="12"/>
    </row>
    <row r="83" spans="1:20" s="17" customFormat="1" x14ac:dyDescent="0.2">
      <c r="A83" s="10"/>
      <c r="B83" s="2"/>
      <c r="C83" s="2" t="s">
        <v>54</v>
      </c>
      <c r="D83" s="10"/>
      <c r="E83" s="10"/>
      <c r="F83" s="10"/>
      <c r="G83" s="10"/>
      <c r="H83" s="24">
        <v>704</v>
      </c>
      <c r="I83" s="24">
        <v>1208</v>
      </c>
      <c r="S83" s="24">
        <v>1291</v>
      </c>
      <c r="T83" s="24"/>
    </row>
    <row r="84" spans="1:20" s="17" customFormat="1" x14ac:dyDescent="0.2">
      <c r="A84" s="10"/>
      <c r="B84" s="2"/>
      <c r="C84" s="2"/>
      <c r="D84" s="10"/>
      <c r="E84" s="10"/>
      <c r="F84" s="10"/>
      <c r="G84" s="10"/>
    </row>
    <row r="85" spans="1:20" s="17" customFormat="1" x14ac:dyDescent="0.2">
      <c r="A85" s="10"/>
      <c r="B85" s="2"/>
      <c r="C85" s="2" t="s">
        <v>55</v>
      </c>
      <c r="D85" s="10"/>
      <c r="E85" s="10"/>
      <c r="F85" s="10"/>
      <c r="G85" s="10"/>
      <c r="H85" s="24">
        <v>1983</v>
      </c>
      <c r="I85" s="24">
        <v>2209</v>
      </c>
      <c r="S85" s="24">
        <v>2352</v>
      </c>
      <c r="T85" s="24"/>
    </row>
    <row r="87" spans="1:20" s="17" customFormat="1" x14ac:dyDescent="0.2">
      <c r="A87" s="10"/>
      <c r="B87" s="2"/>
      <c r="C87" s="2" t="s">
        <v>56</v>
      </c>
      <c r="D87" s="10"/>
      <c r="E87" s="10"/>
      <c r="F87" s="10"/>
      <c r="G87" s="10"/>
    </row>
    <row r="88" spans="1:20" s="17" customFormat="1" x14ac:dyDescent="0.2">
      <c r="A88" s="10"/>
      <c r="B88" s="2"/>
      <c r="C88" s="2" t="s">
        <v>57</v>
      </c>
      <c r="D88" s="10"/>
      <c r="E88" s="10"/>
      <c r="F88" s="10"/>
      <c r="G88" s="10"/>
    </row>
    <row r="89" spans="1:20" x14ac:dyDescent="0.2">
      <c r="C89" s="1" t="s">
        <v>58</v>
      </c>
      <c r="H89" s="12">
        <v>887</v>
      </c>
      <c r="I89" s="12">
        <v>1080</v>
      </c>
      <c r="S89" s="12">
        <v>1141</v>
      </c>
      <c r="T89" s="12"/>
    </row>
    <row r="90" spans="1:20" s="17" customFormat="1" x14ac:dyDescent="0.2">
      <c r="A90" s="10"/>
      <c r="B90" s="2"/>
      <c r="C90" s="2" t="s">
        <v>59</v>
      </c>
      <c r="D90" s="10"/>
      <c r="E90" s="10"/>
      <c r="F90" s="10"/>
      <c r="G90" s="10"/>
      <c r="H90" s="24">
        <v>887</v>
      </c>
      <c r="I90" s="24">
        <v>1080</v>
      </c>
      <c r="S90" s="24">
        <v>1141</v>
      </c>
      <c r="T90" s="24"/>
    </row>
    <row r="92" spans="1:20" s="17" customFormat="1" x14ac:dyDescent="0.2">
      <c r="A92" s="10"/>
      <c r="B92" s="2"/>
      <c r="C92" s="2" t="s">
        <v>60</v>
      </c>
      <c r="D92" s="10"/>
      <c r="E92" s="10"/>
      <c r="F92" s="10"/>
      <c r="G92" s="10"/>
    </row>
    <row r="93" spans="1:20" x14ac:dyDescent="0.2">
      <c r="C93" s="1" t="s">
        <v>61</v>
      </c>
      <c r="H93" s="12">
        <v>815</v>
      </c>
      <c r="I93" s="12">
        <v>225</v>
      </c>
      <c r="S93" s="12">
        <v>252</v>
      </c>
      <c r="T93" s="12"/>
    </row>
    <row r="94" spans="1:20" x14ac:dyDescent="0.2">
      <c r="C94" s="1" t="s">
        <v>62</v>
      </c>
      <c r="H94" s="12">
        <v>3</v>
      </c>
      <c r="I94" s="12">
        <v>4</v>
      </c>
      <c r="S94" s="12">
        <v>6</v>
      </c>
      <c r="T94" s="12"/>
    </row>
    <row r="95" spans="1:20" x14ac:dyDescent="0.2">
      <c r="C95" s="1" t="s">
        <v>63</v>
      </c>
      <c r="H95" s="12">
        <v>5</v>
      </c>
      <c r="I95" s="12">
        <v>6</v>
      </c>
      <c r="S95" s="12">
        <v>6</v>
      </c>
      <c r="T95" s="12"/>
    </row>
    <row r="96" spans="1:20" x14ac:dyDescent="0.2">
      <c r="C96" s="1" t="s">
        <v>64</v>
      </c>
      <c r="H96" s="12">
        <v>8</v>
      </c>
      <c r="I96" s="12">
        <v>7</v>
      </c>
      <c r="S96" s="12">
        <v>7</v>
      </c>
      <c r="T96" s="12"/>
    </row>
    <row r="97" spans="1:20" s="17" customFormat="1" x14ac:dyDescent="0.2">
      <c r="A97" s="10"/>
      <c r="B97" s="2"/>
      <c r="C97" s="2" t="s">
        <v>65</v>
      </c>
      <c r="D97" s="10"/>
      <c r="E97" s="10"/>
      <c r="F97" s="10"/>
      <c r="G97" s="10"/>
      <c r="H97" s="24">
        <v>831</v>
      </c>
      <c r="I97" s="24">
        <v>242</v>
      </c>
      <c r="S97" s="24">
        <v>271</v>
      </c>
      <c r="T97" s="24"/>
    </row>
    <row r="98" spans="1:20" s="17" customFormat="1" x14ac:dyDescent="0.2">
      <c r="A98" s="10"/>
      <c r="B98" s="2"/>
      <c r="C98" s="2"/>
      <c r="D98" s="10"/>
      <c r="E98" s="10"/>
      <c r="F98" s="10"/>
      <c r="G98" s="10"/>
    </row>
    <row r="99" spans="1:20" s="17" customFormat="1" x14ac:dyDescent="0.2">
      <c r="A99" s="10"/>
      <c r="B99" s="2"/>
      <c r="C99" s="2" t="s">
        <v>66</v>
      </c>
      <c r="D99" s="10"/>
      <c r="E99" s="10"/>
      <c r="F99" s="10"/>
      <c r="G99" s="10"/>
    </row>
    <row r="100" spans="1:20" x14ac:dyDescent="0.2">
      <c r="C100" s="1" t="s">
        <v>67</v>
      </c>
      <c r="H100" s="12">
        <v>120</v>
      </c>
      <c r="I100" s="12">
        <v>132</v>
      </c>
      <c r="S100" s="12">
        <v>146</v>
      </c>
      <c r="T100" s="12"/>
    </row>
    <row r="101" spans="1:20" x14ac:dyDescent="0.2">
      <c r="C101" s="1" t="s">
        <v>61</v>
      </c>
      <c r="H101" s="12">
        <v>83</v>
      </c>
      <c r="I101" s="12">
        <v>669</v>
      </c>
      <c r="S101" s="12">
        <v>708</v>
      </c>
      <c r="T101" s="12"/>
    </row>
    <row r="102" spans="1:20" x14ac:dyDescent="0.2">
      <c r="C102" s="1" t="s">
        <v>62</v>
      </c>
      <c r="H102" s="12">
        <v>5</v>
      </c>
      <c r="I102" s="12">
        <v>6</v>
      </c>
      <c r="S102" s="12">
        <v>7</v>
      </c>
      <c r="T102" s="12"/>
    </row>
    <row r="103" spans="1:20" x14ac:dyDescent="0.2">
      <c r="C103" s="1" t="s">
        <v>68</v>
      </c>
      <c r="H103" s="12">
        <v>16</v>
      </c>
      <c r="I103" s="12">
        <v>23</v>
      </c>
      <c r="S103" s="12">
        <v>20</v>
      </c>
      <c r="T103" s="12"/>
    </row>
    <row r="104" spans="1:20" x14ac:dyDescent="0.2">
      <c r="C104" s="1" t="s">
        <v>64</v>
      </c>
      <c r="H104" s="12">
        <v>41</v>
      </c>
      <c r="I104" s="12">
        <v>57</v>
      </c>
      <c r="S104" s="12">
        <v>59</v>
      </c>
      <c r="T104" s="12"/>
    </row>
    <row r="105" spans="1:20" s="17" customFormat="1" x14ac:dyDescent="0.2">
      <c r="A105" s="10"/>
      <c r="B105" s="2"/>
      <c r="C105" s="2" t="s">
        <v>69</v>
      </c>
      <c r="D105" s="10"/>
      <c r="E105" s="10"/>
      <c r="F105" s="10"/>
      <c r="G105" s="10"/>
      <c r="H105" s="24">
        <v>265</v>
      </c>
      <c r="I105" s="24">
        <v>887</v>
      </c>
      <c r="S105" s="24">
        <v>940</v>
      </c>
      <c r="T105" s="24"/>
    </row>
    <row r="106" spans="1:20" s="17" customFormat="1" x14ac:dyDescent="0.2">
      <c r="A106" s="10"/>
      <c r="B106" s="2"/>
      <c r="C106" s="2"/>
      <c r="D106" s="10"/>
      <c r="E106" s="10"/>
      <c r="F106" s="10"/>
      <c r="G106" s="10"/>
    </row>
    <row r="107" spans="1:20" s="17" customFormat="1" x14ac:dyDescent="0.2">
      <c r="A107" s="10"/>
      <c r="B107" s="2"/>
      <c r="C107" s="2" t="s">
        <v>70</v>
      </c>
      <c r="D107" s="10"/>
      <c r="E107" s="10"/>
      <c r="F107" s="10"/>
      <c r="G107" s="10"/>
      <c r="H107" s="24">
        <v>1983</v>
      </c>
      <c r="I107" s="24">
        <v>2209</v>
      </c>
      <c r="S107" s="24">
        <v>2352</v>
      </c>
      <c r="T107" s="24"/>
    </row>
    <row r="109" spans="1:20" x14ac:dyDescent="0.2">
      <c r="C109" s="2" t="s">
        <v>19</v>
      </c>
    </row>
    <row r="110" spans="1:20" x14ac:dyDescent="0.2">
      <c r="C110" s="7" t="s">
        <v>71</v>
      </c>
      <c r="D110" s="29"/>
      <c r="E110" s="29"/>
      <c r="F110" s="29"/>
      <c r="G110" s="29"/>
      <c r="H110" s="19">
        <f>H85-SUM(H68:H71)-SUM(H75:H82)</f>
        <v>0</v>
      </c>
      <c r="I110" s="19">
        <f>I85-SUM(I68:I71)-SUM(I75:I82)</f>
        <v>0</v>
      </c>
      <c r="S110" s="19">
        <f>S85-SUM(S68:S71)-SUM(S75:S82)</f>
        <v>0</v>
      </c>
      <c r="T110" s="19">
        <f>T85-SUM(T68:T71)-SUM(T75:T82)</f>
        <v>0</v>
      </c>
    </row>
    <row r="111" spans="1:20" x14ac:dyDescent="0.2">
      <c r="C111" s="7" t="s">
        <v>72</v>
      </c>
      <c r="D111" s="29"/>
      <c r="E111" s="29"/>
      <c r="F111" s="29"/>
      <c r="G111" s="29"/>
      <c r="H111" s="19">
        <f>H107-H90-SUM(H93:H96)-SUM(H100:H104)</f>
        <v>0</v>
      </c>
      <c r="I111" s="19">
        <f>I107-I90-SUM(I93:I96)-SUM(I100:I104)</f>
        <v>0</v>
      </c>
      <c r="S111" s="19">
        <f>S107-S90-SUM(S93:S96)-SUM(S100:S104)</f>
        <v>0</v>
      </c>
      <c r="T111" s="19">
        <f>T107-T90-SUM(T93:T96)-SUM(T100:T104)</f>
        <v>0</v>
      </c>
    </row>
    <row r="112" spans="1:20" x14ac:dyDescent="0.2">
      <c r="C112" s="7" t="s">
        <v>73</v>
      </c>
      <c r="D112" s="29"/>
      <c r="E112" s="29"/>
      <c r="F112" s="29"/>
      <c r="G112" s="29"/>
      <c r="H112" s="19">
        <f>SUM(H68:H71)+SUM(H75:H82)-SUM(H93:H96)-SUM(H100:H104)-H89</f>
        <v>0</v>
      </c>
      <c r="I112" s="19">
        <f>SUM(I68:I71)+SUM(I75:I82)-SUM(I93:I96)-SUM(I100:I104)-I89</f>
        <v>0</v>
      </c>
      <c r="S112" s="19">
        <f>SUM(S68:S71)+SUM(S75:S82)-SUM(S93:S96)-SUM(S100:S104)-S89</f>
        <v>0</v>
      </c>
      <c r="T112" s="19">
        <f>SUM(T68:T71)+SUM(T75:T82)-SUM(T93:T96)-SUM(T100:T104)-T89</f>
        <v>0</v>
      </c>
    </row>
    <row r="114" spans="1:20" x14ac:dyDescent="0.2">
      <c r="A114" s="8" t="s">
        <v>22</v>
      </c>
      <c r="B114" s="37" t="s">
        <v>74</v>
      </c>
      <c r="C114" s="6"/>
      <c r="D114" s="26"/>
      <c r="E114" s="26"/>
      <c r="F114" s="26"/>
      <c r="G114" s="26"/>
      <c r="H114" s="14"/>
      <c r="I114" s="14"/>
      <c r="J114" s="14"/>
      <c r="K114" s="14"/>
      <c r="L114" s="14"/>
      <c r="M114" s="14"/>
      <c r="N114" s="14"/>
      <c r="O114" s="14"/>
      <c r="P114" s="14"/>
      <c r="Q114" s="14"/>
      <c r="R114" s="14"/>
      <c r="S114" s="14"/>
      <c r="T114" s="14"/>
    </row>
    <row r="116" spans="1:20" x14ac:dyDescent="0.2">
      <c r="C116" s="2" t="s">
        <v>75</v>
      </c>
    </row>
    <row r="117" spans="1:20" x14ac:dyDescent="0.2">
      <c r="C117" s="1" t="s">
        <v>15</v>
      </c>
      <c r="H117" s="12">
        <v>346</v>
      </c>
      <c r="I117" s="12">
        <v>347</v>
      </c>
    </row>
    <row r="118" spans="1:20" x14ac:dyDescent="0.2">
      <c r="C118" s="2" t="s">
        <v>85</v>
      </c>
    </row>
    <row r="119" spans="1:20" x14ac:dyDescent="0.2">
      <c r="C119" s="1" t="s">
        <v>76</v>
      </c>
      <c r="H119" s="12">
        <v>177</v>
      </c>
      <c r="I119" s="12">
        <v>166</v>
      </c>
    </row>
    <row r="120" spans="1:20" x14ac:dyDescent="0.2">
      <c r="C120" s="1" t="s">
        <v>9</v>
      </c>
      <c r="H120" s="12">
        <v>-2</v>
      </c>
      <c r="I120" s="12">
        <v>1</v>
      </c>
    </row>
    <row r="121" spans="1:20" x14ac:dyDescent="0.2">
      <c r="C121" s="1" t="s">
        <v>11</v>
      </c>
      <c r="H121" s="12">
        <v>82</v>
      </c>
      <c r="I121" s="12">
        <v>82</v>
      </c>
    </row>
    <row r="122" spans="1:20" x14ac:dyDescent="0.2">
      <c r="C122" s="1" t="s">
        <v>12</v>
      </c>
      <c r="H122" s="12">
        <v>-35</v>
      </c>
      <c r="I122" s="12">
        <v>-40</v>
      </c>
    </row>
    <row r="123" spans="1:20" x14ac:dyDescent="0.2">
      <c r="C123" s="1" t="s">
        <v>13</v>
      </c>
      <c r="H123" s="12">
        <v>8</v>
      </c>
      <c r="I123" s="12">
        <v>-2</v>
      </c>
    </row>
    <row r="124" spans="1:20" x14ac:dyDescent="0.2">
      <c r="C124" s="1" t="s">
        <v>14</v>
      </c>
      <c r="H124" s="12">
        <v>-38</v>
      </c>
      <c r="I124" s="12">
        <v>-39</v>
      </c>
    </row>
    <row r="125" spans="1:20" x14ac:dyDescent="0.2">
      <c r="C125" s="1" t="s">
        <v>77</v>
      </c>
      <c r="H125" s="12">
        <v>28</v>
      </c>
      <c r="I125" s="12">
        <v>-10</v>
      </c>
    </row>
    <row r="126" spans="1:20" x14ac:dyDescent="0.2">
      <c r="C126" s="1" t="s">
        <v>78</v>
      </c>
      <c r="H126" s="12">
        <v>-2</v>
      </c>
      <c r="I126" s="12">
        <v>0</v>
      </c>
    </row>
    <row r="127" spans="1:20" x14ac:dyDescent="0.2">
      <c r="C127" s="1" t="s">
        <v>79</v>
      </c>
      <c r="H127" s="12">
        <v>-33</v>
      </c>
      <c r="I127" s="12">
        <v>32</v>
      </c>
    </row>
    <row r="128" spans="1:20" x14ac:dyDescent="0.2">
      <c r="C128" s="1" t="s">
        <v>80</v>
      </c>
      <c r="H128" s="12">
        <v>3</v>
      </c>
      <c r="I128" s="12">
        <v>4</v>
      </c>
    </row>
    <row r="129" spans="1:9" x14ac:dyDescent="0.2">
      <c r="C129" s="1" t="s">
        <v>81</v>
      </c>
      <c r="H129" s="12">
        <v>-75</v>
      </c>
      <c r="I129" s="12">
        <v>-78</v>
      </c>
    </row>
    <row r="130" spans="1:9" x14ac:dyDescent="0.2">
      <c r="C130" s="1" t="s">
        <v>82</v>
      </c>
      <c r="H130" s="12">
        <v>16</v>
      </c>
      <c r="I130" s="12">
        <v>19</v>
      </c>
    </row>
    <row r="131" spans="1:9" x14ac:dyDescent="0.2">
      <c r="C131" s="1" t="s">
        <v>83</v>
      </c>
      <c r="H131" s="12">
        <v>-62</v>
      </c>
      <c r="I131" s="12">
        <v>-52</v>
      </c>
    </row>
    <row r="132" spans="1:9" x14ac:dyDescent="0.2">
      <c r="C132" s="4" t="s">
        <v>84</v>
      </c>
      <c r="D132" s="30"/>
      <c r="E132" s="30"/>
      <c r="F132" s="30"/>
      <c r="G132" s="30"/>
      <c r="H132" s="16">
        <v>413</v>
      </c>
      <c r="I132" s="16">
        <v>430</v>
      </c>
    </row>
    <row r="134" spans="1:9" x14ac:dyDescent="0.2">
      <c r="C134" s="2" t="s">
        <v>86</v>
      </c>
    </row>
    <row r="135" spans="1:9" x14ac:dyDescent="0.2">
      <c r="C135" s="1" t="s">
        <v>87</v>
      </c>
      <c r="H135" s="12">
        <v>-96</v>
      </c>
      <c r="I135" s="12">
        <v>-162</v>
      </c>
    </row>
    <row r="136" spans="1:9" x14ac:dyDescent="0.2">
      <c r="C136" s="1" t="s">
        <v>88</v>
      </c>
      <c r="H136" s="12">
        <v>-47</v>
      </c>
      <c r="I136" s="12">
        <v>-86</v>
      </c>
    </row>
    <row r="137" spans="1:9" x14ac:dyDescent="0.2">
      <c r="C137" s="1" t="s">
        <v>89</v>
      </c>
      <c r="H137" s="12">
        <v>-52</v>
      </c>
      <c r="I137" s="12">
        <v>-13</v>
      </c>
    </row>
    <row r="138" spans="1:9" x14ac:dyDescent="0.2">
      <c r="C138" s="1" t="s">
        <v>90</v>
      </c>
      <c r="H138" s="12">
        <v>13</v>
      </c>
      <c r="I138" s="12">
        <v>-2</v>
      </c>
    </row>
    <row r="139" spans="1:9" x14ac:dyDescent="0.2">
      <c r="C139" s="1" t="s">
        <v>91</v>
      </c>
      <c r="H139" s="12">
        <v>-150</v>
      </c>
      <c r="I139" s="12">
        <v>119</v>
      </c>
    </row>
    <row r="140" spans="1:9" x14ac:dyDescent="0.2">
      <c r="C140" s="1" t="s">
        <v>92</v>
      </c>
      <c r="H140" s="12">
        <v>5</v>
      </c>
      <c r="I140" s="12">
        <v>12</v>
      </c>
    </row>
    <row r="141" spans="1:9" s="17" customFormat="1" x14ac:dyDescent="0.2">
      <c r="A141" s="10"/>
      <c r="B141" s="2"/>
      <c r="C141" s="4" t="s">
        <v>93</v>
      </c>
      <c r="D141" s="27"/>
      <c r="E141" s="27"/>
      <c r="F141" s="27"/>
      <c r="G141" s="27"/>
      <c r="H141" s="16">
        <v>-327</v>
      </c>
      <c r="I141" s="16">
        <v>-132</v>
      </c>
    </row>
    <row r="143" spans="1:9" x14ac:dyDescent="0.2">
      <c r="C143" s="2" t="s">
        <v>94</v>
      </c>
    </row>
    <row r="144" spans="1:9" x14ac:dyDescent="0.2">
      <c r="C144" s="1" t="s">
        <v>95</v>
      </c>
      <c r="H144" s="12">
        <v>-88</v>
      </c>
      <c r="I144" s="12">
        <v>-29</v>
      </c>
    </row>
    <row r="145" spans="3:9" x14ac:dyDescent="0.2">
      <c r="C145" s="1" t="s">
        <v>96</v>
      </c>
      <c r="H145" s="12">
        <v>0</v>
      </c>
      <c r="I145" s="12">
        <v>-8</v>
      </c>
    </row>
    <row r="146" spans="3:9" x14ac:dyDescent="0.2">
      <c r="C146" s="4" t="s">
        <v>97</v>
      </c>
      <c r="D146" s="27"/>
      <c r="E146" s="27"/>
      <c r="F146" s="27"/>
      <c r="G146" s="27"/>
      <c r="H146" s="16">
        <v>-88</v>
      </c>
      <c r="I146" s="16">
        <v>-37</v>
      </c>
    </row>
    <row r="148" spans="3:9" x14ac:dyDescent="0.2">
      <c r="C148" s="1" t="s">
        <v>98</v>
      </c>
      <c r="H148" s="12">
        <v>-2</v>
      </c>
      <c r="I148" s="12">
        <v>261</v>
      </c>
    </row>
    <row r="149" spans="3:9" x14ac:dyDescent="0.2">
      <c r="C149" s="1" t="s">
        <v>99</v>
      </c>
      <c r="H149" s="12">
        <v>-5</v>
      </c>
      <c r="I149" s="12">
        <v>-12</v>
      </c>
    </row>
    <row r="150" spans="3:9" x14ac:dyDescent="0.2">
      <c r="C150" s="1" t="s">
        <v>100</v>
      </c>
      <c r="H150" s="12">
        <v>432</v>
      </c>
      <c r="I150" s="12">
        <v>425</v>
      </c>
    </row>
    <row r="151" spans="3:9" ht="13.5" thickBot="1" x14ac:dyDescent="0.25">
      <c r="C151" s="5" t="s">
        <v>101</v>
      </c>
      <c r="D151" s="31"/>
      <c r="E151" s="31"/>
      <c r="F151" s="31"/>
      <c r="G151" s="31"/>
      <c r="H151" s="18">
        <v>425</v>
      </c>
      <c r="I151" s="18">
        <v>674</v>
      </c>
    </row>
    <row r="152" spans="3:9" ht="13.5" thickTop="1" x14ac:dyDescent="0.2"/>
    <row r="153" spans="3:9" x14ac:dyDescent="0.2">
      <c r="C153" s="2" t="s">
        <v>102</v>
      </c>
    </row>
    <row r="154" spans="3:9" x14ac:dyDescent="0.2">
      <c r="C154" s="7" t="s">
        <v>103</v>
      </c>
      <c r="D154" s="29"/>
      <c r="E154" s="29"/>
      <c r="F154" s="29"/>
      <c r="G154" s="29"/>
      <c r="H154" s="19">
        <f>H132-SUM(H117:H131)</f>
        <v>0</v>
      </c>
      <c r="I154" s="19">
        <f>I132-SUM(I117:I131)</f>
        <v>0</v>
      </c>
    </row>
    <row r="155" spans="3:9" x14ac:dyDescent="0.2">
      <c r="C155" s="7" t="s">
        <v>104</v>
      </c>
      <c r="D155" s="29"/>
      <c r="E155" s="29"/>
      <c r="F155" s="29"/>
      <c r="G155" s="29"/>
      <c r="H155" s="19">
        <f>H141-SUM(H135:H140)</f>
        <v>0</v>
      </c>
      <c r="I155" s="19">
        <f>I141-SUM(I135:I140)</f>
        <v>0</v>
      </c>
    </row>
    <row r="156" spans="3:9" x14ac:dyDescent="0.2">
      <c r="C156" s="7" t="s">
        <v>105</v>
      </c>
      <c r="D156" s="29"/>
      <c r="E156" s="29"/>
      <c r="F156" s="29"/>
      <c r="G156" s="29"/>
      <c r="H156" s="19">
        <f>H146-SUM(H144:H145)</f>
        <v>0</v>
      </c>
      <c r="I156" s="19">
        <f>I146-SUM(I144:I145)</f>
        <v>0</v>
      </c>
    </row>
    <row r="157" spans="3:9" x14ac:dyDescent="0.2">
      <c r="C157" s="7" t="s">
        <v>106</v>
      </c>
      <c r="D157" s="29"/>
      <c r="E157" s="29"/>
      <c r="F157" s="29"/>
      <c r="G157" s="29"/>
      <c r="H157" s="19">
        <f>H132+H141+H146+H149+H150-H151</f>
        <v>0</v>
      </c>
      <c r="I157" s="19">
        <f>I132+I141+I146+I149+I150-I151</f>
        <v>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34E8-1A2F-4154-AE9B-D287EEBC7CB9}">
  <sheetPr>
    <tabColor rgb="FF0000FF"/>
  </sheetPr>
  <dimension ref="A1:Z157"/>
  <sheetViews>
    <sheetView zoomScale="85" zoomScaleNormal="85" workbookViewId="0">
      <pane xSplit="4" ySplit="3" topLeftCell="H4" activePane="bottomRight" state="frozen"/>
      <selection pane="topRight" activeCell="E1" sqref="E1"/>
      <selection pane="bottomLeft" activeCell="A4" sqref="A4"/>
      <selection pane="bottomRight" activeCell="K19" sqref="K19"/>
    </sheetView>
  </sheetViews>
  <sheetFormatPr defaultColWidth="10.42578125" defaultRowHeight="12.75" x14ac:dyDescent="0.2"/>
  <cols>
    <col min="1" max="1" width="2.42578125" style="8" customWidth="1"/>
    <col min="2" max="2" width="2.28515625" style="1" customWidth="1"/>
    <col min="3" max="3" width="44" style="1" bestFit="1" customWidth="1"/>
    <col min="4" max="4" width="8.85546875" style="8" customWidth="1"/>
    <col min="5" max="7" width="9.85546875" style="8" bestFit="1" customWidth="1"/>
    <col min="8" max="16384" width="10.42578125" style="13"/>
  </cols>
  <sheetData>
    <row r="1" spans="1:25" s="1" customFormat="1" x14ac:dyDescent="0.2">
      <c r="A1" s="8"/>
      <c r="D1" s="8"/>
      <c r="E1" s="8"/>
      <c r="F1" s="8"/>
      <c r="G1" s="8"/>
    </row>
    <row r="2" spans="1:25" s="2" customFormat="1" x14ac:dyDescent="0.2">
      <c r="A2" s="10"/>
      <c r="B2" s="34" t="s">
        <v>1132</v>
      </c>
      <c r="C2" s="34"/>
      <c r="D2" s="35"/>
      <c r="E2" s="34">
        <v>2020</v>
      </c>
      <c r="F2" s="34">
        <f>E2+1</f>
        <v>2021</v>
      </c>
      <c r="G2" s="34">
        <f>F2+1</f>
        <v>2022</v>
      </c>
      <c r="H2" s="34">
        <f>G2+1</f>
        <v>2023</v>
      </c>
      <c r="I2" s="34">
        <f>H2+1</f>
        <v>2024</v>
      </c>
      <c r="J2" s="34">
        <f>I2+1</f>
        <v>2025</v>
      </c>
      <c r="L2" s="32" t="str">
        <f>IF(MONTH(L$3)=3,"1Q"&amp;RIGHT(YEAR(L$3),2),IF(MONTH(L$3)=6,"2Q"&amp;RIGHT(YEAR(L$3),2),IF(MONTH(L$3)=9,"3Q"&amp;RIGHT(YEAR(L$3),2),IF(MONTH(L$3)=12,"4Q"&amp;RIGHT(YEAR(L$3),2),"nm"))))</f>
        <v>1Q23</v>
      </c>
      <c r="M2" s="32" t="str">
        <f>IF(MONTH(M$3)=3,"1Q"&amp;RIGHT(YEAR(M$3),2),IF(MONTH(M$3)=6,"2Q"&amp;RIGHT(YEAR(M$3),2),IF(MONTH(M$3)=9,"3Q"&amp;RIGHT(YEAR(M$3),2),IF(MONTH(M$3)=12,"4Q"&amp;RIGHT(YEAR(M$3),2),"nm"))))</f>
        <v>2Q23</v>
      </c>
      <c r="N2" s="32" t="str">
        <f t="shared" ref="N2:O2" si="0">IF(MONTH(N$3)=3,"1Q"&amp;RIGHT(YEAR(N$3),2),IF(MONTH(N$3)=6,"2Q"&amp;RIGHT(YEAR(N$3),2),IF(MONTH(N$3)=9,"3Q"&amp;RIGHT(YEAR(N$3),2),IF(MONTH(N$3)=12,"4Q"&amp;RIGHT(YEAR(N$3),2),"nm"))))</f>
        <v>3Q23</v>
      </c>
      <c r="O2" s="32" t="str">
        <f t="shared" si="0"/>
        <v>4Q23</v>
      </c>
      <c r="P2" s="32" t="str">
        <f>IF(MONTH(P$3)=3,"1Q"&amp;RIGHT(YEAR(P$3),2),IF(MONTH(P$3)=6,"2Q"&amp;RIGHT(YEAR(P$3),2),IF(MONTH(P$3)=9,"3Q"&amp;RIGHT(YEAR(P$3),2),IF(MONTH(P$3)=12,"4Q"&amp;RIGHT(YEAR(P$3),2),"nm"))))</f>
        <v>1Q24</v>
      </c>
      <c r="Q2" s="32" t="str">
        <f t="shared" ref="Q2:U2" si="1">IF(MONTH(Q$3)=3,"1Q"&amp;RIGHT(YEAR(Q$3),2),IF(MONTH(Q$3)=6,"2Q"&amp;RIGHT(YEAR(Q$3),2),IF(MONTH(Q$3)=9,"3Q"&amp;RIGHT(YEAR(Q$3),2),IF(MONTH(Q$3)=12,"4Q"&amp;RIGHT(YEAR(Q$3),2),"nm"))))</f>
        <v>2Q24</v>
      </c>
      <c r="R2" s="32" t="str">
        <f t="shared" si="1"/>
        <v>3Q24</v>
      </c>
      <c r="S2" s="32" t="str">
        <f t="shared" si="1"/>
        <v>4Q24</v>
      </c>
      <c r="T2" s="32" t="str">
        <f t="shared" si="1"/>
        <v>1Q25</v>
      </c>
      <c r="U2" s="32" t="str">
        <f t="shared" si="1"/>
        <v>2Q25</v>
      </c>
      <c r="V2" s="32"/>
      <c r="W2" s="32"/>
    </row>
    <row r="3" spans="1:25" s="2" customFormat="1" x14ac:dyDescent="0.2">
      <c r="A3" s="10"/>
      <c r="B3" s="34" t="s">
        <v>108</v>
      </c>
      <c r="C3" s="34"/>
      <c r="D3" s="35"/>
      <c r="E3" s="33">
        <v>44196</v>
      </c>
      <c r="F3" s="33">
        <f>EOMONTH(E3,12)</f>
        <v>44561</v>
      </c>
      <c r="G3" s="33">
        <f>EOMONTH(F3,12)</f>
        <v>44926</v>
      </c>
      <c r="H3" s="33">
        <f>EOMONTH(G3,12)</f>
        <v>45291</v>
      </c>
      <c r="I3" s="33">
        <f>EOMONTH(H3,12)</f>
        <v>45657</v>
      </c>
      <c r="J3" s="33">
        <f>EOMONTH(I3,12)</f>
        <v>46022</v>
      </c>
      <c r="L3" s="33">
        <v>45016</v>
      </c>
      <c r="M3" s="33">
        <f>EOMONTH(L3,3)</f>
        <v>45107</v>
      </c>
      <c r="N3" s="33">
        <f t="shared" ref="N3:P3" si="2">EOMONTH(M3,3)</f>
        <v>45199</v>
      </c>
      <c r="O3" s="33">
        <f t="shared" si="2"/>
        <v>45291</v>
      </c>
      <c r="P3" s="33">
        <f t="shared" si="2"/>
        <v>45382</v>
      </c>
      <c r="Q3" s="33">
        <f>EOMONTH(P3,3)</f>
        <v>45473</v>
      </c>
      <c r="R3" s="33">
        <f t="shared" ref="R3:U3" si="3">EOMONTH(Q3,3)</f>
        <v>45565</v>
      </c>
      <c r="S3" s="33">
        <f t="shared" si="3"/>
        <v>45657</v>
      </c>
      <c r="T3" s="33">
        <f t="shared" si="3"/>
        <v>45747</v>
      </c>
      <c r="U3" s="33">
        <f t="shared" si="3"/>
        <v>45838</v>
      </c>
      <c r="V3" s="33"/>
      <c r="W3" s="33"/>
    </row>
    <row r="4" spans="1:25" s="1" customFormat="1" x14ac:dyDescent="0.2">
      <c r="A4" s="8" t="s">
        <v>22</v>
      </c>
      <c r="B4" s="37" t="s">
        <v>29</v>
      </c>
      <c r="C4" s="6"/>
      <c r="D4" s="26"/>
      <c r="E4" s="26"/>
      <c r="F4" s="26"/>
      <c r="G4" s="26"/>
      <c r="H4" s="6"/>
      <c r="I4" s="6"/>
      <c r="J4" s="6"/>
      <c r="K4" s="6"/>
      <c r="L4" s="6"/>
      <c r="M4" s="6"/>
      <c r="N4" s="6"/>
      <c r="O4" s="6"/>
      <c r="P4" s="6"/>
      <c r="Q4" s="6"/>
      <c r="R4" s="6"/>
      <c r="S4" s="6"/>
      <c r="T4" s="6"/>
      <c r="U4" s="6"/>
      <c r="V4" s="6"/>
      <c r="W4" s="6"/>
    </row>
    <row r="5" spans="1:25" s="1" customFormat="1" x14ac:dyDescent="0.2">
      <c r="A5" s="8"/>
      <c r="D5" s="8"/>
      <c r="E5" s="8"/>
      <c r="F5" s="8"/>
      <c r="G5" s="8"/>
      <c r="H5" s="11"/>
      <c r="I5" s="11"/>
      <c r="J5" s="11"/>
    </row>
    <row r="6" spans="1:25" x14ac:dyDescent="0.2">
      <c r="C6" s="1" t="s">
        <v>30</v>
      </c>
      <c r="H6" s="12">
        <v>7042184</v>
      </c>
      <c r="I6" s="12">
        <v>5596753</v>
      </c>
      <c r="J6" s="12"/>
      <c r="L6" s="12"/>
      <c r="M6" s="12"/>
      <c r="N6" s="12"/>
      <c r="O6" s="12"/>
      <c r="P6" s="12">
        <v>6661541</v>
      </c>
      <c r="T6" s="12">
        <v>6190506</v>
      </c>
      <c r="U6" s="12"/>
      <c r="V6" s="12"/>
      <c r="W6" s="12"/>
    </row>
    <row r="7" spans="1:25" s="21" customFormat="1" x14ac:dyDescent="0.2">
      <c r="A7" s="20"/>
      <c r="C7" s="21" t="s">
        <v>31</v>
      </c>
      <c r="D7" s="20" t="s">
        <v>109</v>
      </c>
      <c r="E7" s="22">
        <v>2.7801265572634191</v>
      </c>
      <c r="F7" s="22">
        <v>3.1339415241168722</v>
      </c>
      <c r="G7" s="22">
        <v>2.9356913361767396</v>
      </c>
      <c r="H7" s="22">
        <v>2.9</v>
      </c>
      <c r="I7" s="22">
        <v>3</v>
      </c>
      <c r="J7" s="22"/>
      <c r="L7" s="22"/>
      <c r="M7" s="22"/>
      <c r="N7" s="22"/>
      <c r="O7" s="22"/>
      <c r="P7" s="22">
        <v>2.39</v>
      </c>
      <c r="T7" s="22">
        <v>3.37</v>
      </c>
      <c r="U7" s="22"/>
      <c r="V7" s="22"/>
      <c r="W7" s="22"/>
    </row>
    <row r="8" spans="1:25" x14ac:dyDescent="0.2">
      <c r="C8" s="1" t="s">
        <v>32</v>
      </c>
      <c r="E8" s="12">
        <v>25875719</v>
      </c>
      <c r="F8" s="12">
        <v>26183252</v>
      </c>
      <c r="G8" s="12">
        <v>24752362</v>
      </c>
      <c r="H8" s="12">
        <v>23910607</v>
      </c>
      <c r="I8" s="12">
        <v>23009719</v>
      </c>
      <c r="J8" s="12"/>
      <c r="L8" s="12"/>
      <c r="M8" s="12"/>
      <c r="N8" s="12"/>
      <c r="O8" s="12"/>
      <c r="P8" s="12">
        <v>23861405</v>
      </c>
      <c r="T8" s="12">
        <v>22685397</v>
      </c>
      <c r="U8" s="12"/>
      <c r="V8" s="12"/>
      <c r="W8" s="12"/>
    </row>
    <row r="9" spans="1:25" x14ac:dyDescent="0.2">
      <c r="C9" s="1" t="s">
        <v>33</v>
      </c>
      <c r="E9" s="12">
        <v>2100000</v>
      </c>
      <c r="F9" s="12">
        <v>3100000</v>
      </c>
      <c r="G9" s="12">
        <v>3500000</v>
      </c>
      <c r="H9" s="12">
        <v>4094242</v>
      </c>
      <c r="I9" s="12">
        <v>6149846</v>
      </c>
      <c r="J9" s="12"/>
      <c r="L9" s="12"/>
      <c r="M9" s="12"/>
      <c r="N9" s="12"/>
      <c r="O9" s="12"/>
      <c r="P9" s="12">
        <v>4348871</v>
      </c>
      <c r="T9" s="12">
        <v>6119685</v>
      </c>
      <c r="U9" s="12"/>
      <c r="V9" s="12"/>
      <c r="W9" s="12"/>
    </row>
    <row r="10" spans="1:25" x14ac:dyDescent="0.2">
      <c r="C10" s="1" t="s">
        <v>34</v>
      </c>
      <c r="H10" s="12">
        <v>8159305</v>
      </c>
      <c r="I10" s="12">
        <v>10572761</v>
      </c>
      <c r="J10" s="12"/>
      <c r="L10" s="12"/>
      <c r="M10" s="12"/>
      <c r="N10" s="12"/>
      <c r="O10" s="12"/>
      <c r="P10" s="12">
        <v>7743958</v>
      </c>
      <c r="T10" s="12">
        <v>10291620</v>
      </c>
      <c r="U10" s="12"/>
      <c r="V10" s="12"/>
      <c r="W10" s="12"/>
    </row>
    <row r="12" spans="1:25" x14ac:dyDescent="0.2">
      <c r="C12" s="1" t="s">
        <v>321</v>
      </c>
      <c r="L12" s="190">
        <v>6.7</v>
      </c>
      <c r="M12" s="190">
        <v>6.5</v>
      </c>
      <c r="N12" s="190">
        <v>7.1</v>
      </c>
      <c r="O12" s="190">
        <v>8.1999999999999993</v>
      </c>
      <c r="P12" s="190">
        <v>7.7</v>
      </c>
      <c r="Q12" s="190">
        <v>8.8000000000000007</v>
      </c>
      <c r="R12" s="190">
        <v>9</v>
      </c>
      <c r="S12" s="190">
        <v>10.6</v>
      </c>
      <c r="T12" s="190">
        <v>10.3</v>
      </c>
      <c r="U12" s="190"/>
      <c r="V12" s="190"/>
      <c r="W12" s="190"/>
      <c r="Y12" s="13" t="s">
        <v>322</v>
      </c>
    </row>
    <row r="16" spans="1:25" x14ac:dyDescent="0.2">
      <c r="A16" s="8" t="s">
        <v>22</v>
      </c>
      <c r="B16" s="37" t="s">
        <v>18</v>
      </c>
      <c r="C16" s="6"/>
      <c r="D16" s="26"/>
      <c r="E16" s="26"/>
      <c r="F16" s="26"/>
      <c r="G16" s="26"/>
      <c r="H16" s="14"/>
      <c r="I16" s="14"/>
      <c r="J16" s="14"/>
      <c r="K16" s="14"/>
      <c r="L16" s="14"/>
      <c r="M16" s="14"/>
      <c r="N16" s="14"/>
      <c r="O16" s="14"/>
      <c r="P16" s="14"/>
      <c r="Q16" s="14"/>
      <c r="R16" s="14"/>
      <c r="S16" s="14"/>
      <c r="T16" s="14"/>
      <c r="U16" s="14"/>
      <c r="V16" s="14"/>
      <c r="W16" s="14"/>
    </row>
    <row r="18" spans="1:26" s="15" customFormat="1" x14ac:dyDescent="0.2">
      <c r="A18" s="9"/>
      <c r="B18" s="3"/>
      <c r="C18" s="3" t="s">
        <v>0</v>
      </c>
      <c r="D18" s="9"/>
      <c r="E18" s="9"/>
      <c r="F18" s="9"/>
      <c r="G18" s="9"/>
      <c r="H18" s="12">
        <v>911</v>
      </c>
      <c r="I18" s="12">
        <v>915</v>
      </c>
      <c r="J18" s="97">
        <f>Model!J602</f>
        <v>1028.6903190336634</v>
      </c>
      <c r="L18" s="12"/>
      <c r="M18" s="12"/>
      <c r="N18" s="12"/>
      <c r="O18" s="12"/>
      <c r="P18" s="12">
        <v>185</v>
      </c>
      <c r="T18" s="12">
        <v>254</v>
      </c>
      <c r="U18" s="12"/>
      <c r="V18" s="12"/>
      <c r="W18" s="12"/>
    </row>
    <row r="19" spans="1:26" x14ac:dyDescent="0.2">
      <c r="C19" s="1" t="s">
        <v>1</v>
      </c>
      <c r="H19" s="12">
        <v>4</v>
      </c>
      <c r="I19" s="12">
        <v>4</v>
      </c>
      <c r="J19" s="97">
        <f>Model!J603</f>
        <v>3.8486055776892436</v>
      </c>
      <c r="L19" s="12"/>
      <c r="M19" s="12"/>
      <c r="N19" s="12"/>
      <c r="O19" s="12"/>
      <c r="P19" s="12">
        <v>1</v>
      </c>
      <c r="T19" s="12">
        <v>1</v>
      </c>
      <c r="U19" s="12"/>
      <c r="V19" s="12"/>
      <c r="W19" s="12"/>
    </row>
    <row r="20" spans="1:26" s="17" customFormat="1" x14ac:dyDescent="0.2">
      <c r="A20" s="10"/>
      <c r="B20" s="2"/>
      <c r="C20" s="4" t="s">
        <v>2</v>
      </c>
      <c r="D20" s="27"/>
      <c r="E20" s="27"/>
      <c r="F20" s="27"/>
      <c r="G20" s="27"/>
      <c r="H20" s="16">
        <v>915</v>
      </c>
      <c r="I20" s="16">
        <v>919</v>
      </c>
      <c r="J20" s="584">
        <f>Model!J604</f>
        <v>1032.5389246113527</v>
      </c>
      <c r="L20" s="16"/>
      <c r="M20" s="16"/>
      <c r="N20" s="16"/>
      <c r="O20" s="16"/>
      <c r="P20" s="16">
        <v>186</v>
      </c>
      <c r="Q20" s="16">
        <v>235</v>
      </c>
      <c r="R20" s="23"/>
      <c r="S20" s="23"/>
      <c r="T20" s="16">
        <v>255</v>
      </c>
      <c r="U20" s="16">
        <v>284</v>
      </c>
      <c r="V20" s="24"/>
      <c r="W20" s="24"/>
      <c r="Z20" s="254">
        <f>T20/P20-1</f>
        <v>0.37096774193548376</v>
      </c>
    </row>
    <row r="21" spans="1:26" x14ac:dyDescent="0.2">
      <c r="C21" s="1" t="s">
        <v>3</v>
      </c>
      <c r="H21" s="12">
        <v>1</v>
      </c>
      <c r="I21" s="12">
        <v>1</v>
      </c>
      <c r="J21" s="97">
        <f>Model!J635</f>
        <v>1.1235461638861293</v>
      </c>
      <c r="L21" s="12"/>
      <c r="M21" s="12"/>
      <c r="N21" s="12"/>
      <c r="O21" s="12"/>
      <c r="P21" s="12"/>
      <c r="T21" s="12"/>
      <c r="U21" s="12"/>
      <c r="V21" s="12"/>
      <c r="W21" s="12"/>
    </row>
    <row r="22" spans="1:26" x14ac:dyDescent="0.2">
      <c r="C22" s="1" t="s">
        <v>4</v>
      </c>
      <c r="H22" s="12">
        <v>-94</v>
      </c>
      <c r="I22" s="12">
        <v>-100</v>
      </c>
      <c r="J22" s="97">
        <f>Model!J636</f>
        <v>-133.00539488083959</v>
      </c>
      <c r="L22" s="12"/>
      <c r="M22" s="12"/>
      <c r="N22" s="12"/>
      <c r="O22" s="12"/>
      <c r="P22" s="12">
        <v>-24</v>
      </c>
      <c r="T22" s="12">
        <v>-24</v>
      </c>
      <c r="U22" s="12"/>
      <c r="V22" s="12"/>
      <c r="W22" s="12"/>
    </row>
    <row r="23" spans="1:26" x14ac:dyDescent="0.2">
      <c r="C23" s="1" t="s">
        <v>5</v>
      </c>
      <c r="H23" s="12">
        <v>-284</v>
      </c>
      <c r="I23" s="12">
        <v>-305</v>
      </c>
      <c r="J23" s="97">
        <f>Model!J637</f>
        <v>-353.00696923138338</v>
      </c>
      <c r="L23" s="12"/>
      <c r="M23" s="12"/>
      <c r="N23" s="12"/>
      <c r="O23" s="12"/>
      <c r="P23" s="12">
        <v>-69</v>
      </c>
      <c r="T23" s="12">
        <v>-91</v>
      </c>
      <c r="U23" s="12"/>
      <c r="V23" s="12"/>
      <c r="W23" s="12"/>
    </row>
    <row r="24" spans="1:26" x14ac:dyDescent="0.2">
      <c r="C24" s="1" t="s">
        <v>6</v>
      </c>
      <c r="H24" s="12">
        <v>-127</v>
      </c>
      <c r="I24" s="12">
        <v>-118</v>
      </c>
      <c r="J24" s="97">
        <f>Model!J643</f>
        <v>-141.42951409365418</v>
      </c>
      <c r="L24" s="12"/>
      <c r="M24" s="12"/>
      <c r="N24" s="12"/>
      <c r="O24" s="12"/>
      <c r="P24" s="12">
        <v>-31</v>
      </c>
      <c r="Q24" s="13">
        <v>-28</v>
      </c>
      <c r="T24" s="12">
        <v>-31</v>
      </c>
      <c r="U24" s="12">
        <v>-35</v>
      </c>
      <c r="V24" s="12"/>
      <c r="W24" s="12"/>
    </row>
    <row r="25" spans="1:26" x14ac:dyDescent="0.2">
      <c r="C25" s="1" t="s">
        <v>7</v>
      </c>
      <c r="H25" s="12">
        <v>-49</v>
      </c>
      <c r="I25" s="12">
        <v>-45</v>
      </c>
      <c r="J25" s="97">
        <f>Model!J644</f>
        <v>-49.561868381344937</v>
      </c>
      <c r="L25" s="12"/>
      <c r="M25" s="12"/>
      <c r="N25" s="12"/>
      <c r="O25" s="12"/>
      <c r="P25" s="12">
        <v>-12</v>
      </c>
      <c r="Q25" s="13">
        <v>-10</v>
      </c>
      <c r="T25" s="12">
        <v>-13</v>
      </c>
      <c r="U25" s="12">
        <v>-16</v>
      </c>
      <c r="V25" s="12"/>
      <c r="W25" s="12"/>
    </row>
    <row r="26" spans="1:26" x14ac:dyDescent="0.2">
      <c r="C26" s="1" t="s">
        <v>8</v>
      </c>
      <c r="H26" s="12">
        <v>-1</v>
      </c>
      <c r="I26" s="12">
        <v>-3</v>
      </c>
      <c r="J26" s="97">
        <f>Model!J648</f>
        <v>-3.3706384916583878</v>
      </c>
      <c r="L26" s="12"/>
      <c r="M26" s="12"/>
      <c r="N26" s="12"/>
      <c r="O26" s="12"/>
      <c r="P26" s="12">
        <v>-1</v>
      </c>
      <c r="Q26" s="13">
        <v>-1</v>
      </c>
      <c r="T26" s="12">
        <v>-2</v>
      </c>
      <c r="U26" s="12">
        <v>-2</v>
      </c>
      <c r="V26" s="12"/>
      <c r="W26" s="12"/>
    </row>
    <row r="27" spans="1:26" x14ac:dyDescent="0.2">
      <c r="C27" s="1" t="s">
        <v>9</v>
      </c>
      <c r="H27" s="12">
        <v>2</v>
      </c>
      <c r="I27" s="12">
        <v>-1</v>
      </c>
      <c r="J27" s="97">
        <f>Model!J649</f>
        <v>-1.1235461638861293</v>
      </c>
    </row>
    <row r="28" spans="1:26" s="17" customFormat="1" x14ac:dyDescent="0.2">
      <c r="A28" s="10"/>
      <c r="B28" s="2"/>
      <c r="C28" s="4" t="s">
        <v>10</v>
      </c>
      <c r="D28" s="27"/>
      <c r="E28" s="27"/>
      <c r="F28" s="27"/>
      <c r="G28" s="27"/>
      <c r="H28" s="16">
        <v>363</v>
      </c>
      <c r="I28" s="16">
        <v>348</v>
      </c>
      <c r="J28" s="584">
        <f>Model!J650</f>
        <v>352.16453953247225</v>
      </c>
      <c r="L28" s="16"/>
      <c r="M28" s="16"/>
      <c r="N28" s="16"/>
      <c r="O28" s="16"/>
      <c r="P28" s="16">
        <v>49</v>
      </c>
      <c r="Q28" s="23">
        <f>Q33-SUM(Q29:Q32)</f>
        <v>100</v>
      </c>
      <c r="R28" s="23"/>
      <c r="S28" s="23"/>
      <c r="T28" s="16">
        <v>94</v>
      </c>
      <c r="U28" s="23">
        <f>U33-SUM(U29:U32)</f>
        <v>107</v>
      </c>
    </row>
    <row r="29" spans="1:26" x14ac:dyDescent="0.2">
      <c r="C29" s="1" t="s">
        <v>11</v>
      </c>
      <c r="H29" s="12">
        <v>-82</v>
      </c>
      <c r="I29" s="12">
        <v>-82</v>
      </c>
      <c r="J29" s="97">
        <f>Model!J654</f>
        <v>-81.634743875278403</v>
      </c>
      <c r="L29" s="12"/>
      <c r="M29" s="12"/>
      <c r="N29" s="12"/>
      <c r="O29" s="12"/>
      <c r="P29" s="12">
        <v>-21</v>
      </c>
      <c r="Q29" s="12">
        <v>-21</v>
      </c>
      <c r="T29" s="12">
        <v>-21</v>
      </c>
      <c r="U29" s="12">
        <v>-18</v>
      </c>
      <c r="V29" s="12"/>
      <c r="W29" s="12"/>
    </row>
    <row r="30" spans="1:26" x14ac:dyDescent="0.2">
      <c r="C30" s="1" t="s">
        <v>12</v>
      </c>
      <c r="H30" s="12">
        <v>35</v>
      </c>
      <c r="I30" s="12">
        <v>40</v>
      </c>
      <c r="J30" s="97">
        <f>Model!J655</f>
        <v>63.435294117647061</v>
      </c>
      <c r="L30" s="12"/>
      <c r="M30" s="12"/>
      <c r="N30" s="12"/>
      <c r="O30" s="12"/>
      <c r="P30" s="12">
        <v>8</v>
      </c>
      <c r="Q30" s="12">
        <v>8</v>
      </c>
      <c r="T30" s="12">
        <v>7</v>
      </c>
      <c r="U30" s="12">
        <v>4</v>
      </c>
      <c r="V30" s="12"/>
      <c r="W30" s="12"/>
    </row>
    <row r="31" spans="1:26" x14ac:dyDescent="0.2">
      <c r="C31" s="1" t="s">
        <v>13</v>
      </c>
      <c r="H31" s="12">
        <v>-8</v>
      </c>
      <c r="I31" s="12">
        <v>2</v>
      </c>
      <c r="J31" s="97">
        <f>Model!J656</f>
        <v>0</v>
      </c>
      <c r="L31" s="12"/>
      <c r="M31" s="12"/>
      <c r="N31" s="12"/>
      <c r="O31" s="12"/>
      <c r="P31" s="12">
        <v>1</v>
      </c>
      <c r="Q31" s="12">
        <v>0</v>
      </c>
      <c r="T31" s="12">
        <v>-1</v>
      </c>
      <c r="U31" s="12">
        <v>2</v>
      </c>
      <c r="V31" s="12"/>
      <c r="W31" s="12"/>
    </row>
    <row r="32" spans="1:26" x14ac:dyDescent="0.2">
      <c r="C32" s="1" t="s">
        <v>14</v>
      </c>
      <c r="H32" s="12">
        <v>38</v>
      </c>
      <c r="I32" s="12">
        <v>39</v>
      </c>
      <c r="J32" s="97">
        <f>Model!J657</f>
        <v>30.976167738340582</v>
      </c>
      <c r="L32" s="12"/>
      <c r="M32" s="12"/>
      <c r="N32" s="12"/>
      <c r="O32" s="12"/>
      <c r="P32" s="12">
        <v>8</v>
      </c>
      <c r="Q32" s="12">
        <v>2</v>
      </c>
      <c r="T32" s="12">
        <v>-21</v>
      </c>
      <c r="U32" s="12">
        <v>8</v>
      </c>
      <c r="V32" s="12"/>
      <c r="W32" s="12"/>
    </row>
    <row r="33" spans="1:25" s="17" customFormat="1" x14ac:dyDescent="0.2">
      <c r="A33" s="10"/>
      <c r="B33" s="2"/>
      <c r="C33" s="2" t="s">
        <v>15</v>
      </c>
      <c r="D33" s="10"/>
      <c r="E33" s="10"/>
      <c r="F33" s="10"/>
      <c r="G33" s="10"/>
      <c r="H33" s="24">
        <v>346</v>
      </c>
      <c r="I33" s="24">
        <v>347</v>
      </c>
      <c r="J33" s="97">
        <f>Model!J659</f>
        <v>364.94125751318148</v>
      </c>
      <c r="L33" s="24"/>
      <c r="M33" s="24"/>
      <c r="N33" s="24"/>
      <c r="O33" s="24"/>
      <c r="P33" s="24">
        <v>45</v>
      </c>
      <c r="Q33" s="24">
        <v>89</v>
      </c>
      <c r="T33" s="24">
        <v>58</v>
      </c>
      <c r="U33" s="24">
        <v>103</v>
      </c>
      <c r="V33" s="24"/>
      <c r="W33" s="24"/>
    </row>
    <row r="34" spans="1:25" x14ac:dyDescent="0.2">
      <c r="C34" s="1" t="s">
        <v>16</v>
      </c>
      <c r="H34" s="12">
        <v>-65</v>
      </c>
      <c r="I34" s="12">
        <v>-64</v>
      </c>
      <c r="J34" s="97">
        <f>Model!J660</f>
        <v>-67.309050377070932</v>
      </c>
      <c r="L34" s="12"/>
      <c r="M34" s="12"/>
      <c r="N34" s="12"/>
      <c r="O34" s="12"/>
      <c r="P34" s="12">
        <v>-9</v>
      </c>
      <c r="Q34" s="13">
        <v>-17</v>
      </c>
      <c r="T34" s="12">
        <v>-14</v>
      </c>
      <c r="U34" s="12">
        <v>-21</v>
      </c>
      <c r="V34" s="12"/>
      <c r="W34" s="12"/>
    </row>
    <row r="35" spans="1:25" ht="13.5" thickBot="1" x14ac:dyDescent="0.25">
      <c r="C35" s="5" t="s">
        <v>17</v>
      </c>
      <c r="D35" s="28"/>
      <c r="E35" s="28"/>
      <c r="F35" s="28"/>
      <c r="G35" s="28"/>
      <c r="H35" s="18">
        <v>281</v>
      </c>
      <c r="I35" s="18">
        <v>283</v>
      </c>
      <c r="J35" s="585">
        <f>Model!J661</f>
        <v>297.63220713611054</v>
      </c>
      <c r="L35" s="18"/>
      <c r="M35" s="18"/>
      <c r="N35" s="18"/>
      <c r="O35" s="18"/>
      <c r="P35" s="18">
        <v>36</v>
      </c>
      <c r="Q35" s="18">
        <v>72</v>
      </c>
      <c r="R35" s="25"/>
      <c r="S35" s="25"/>
      <c r="T35" s="18">
        <v>44</v>
      </c>
      <c r="U35" s="18">
        <v>82</v>
      </c>
      <c r="V35" s="24"/>
      <c r="W35" s="24"/>
      <c r="Y35" s="234">
        <f>T35/P35-1</f>
        <v>0.22222222222222232</v>
      </c>
    </row>
    <row r="36" spans="1:25" ht="13.5" thickTop="1" x14ac:dyDescent="0.2"/>
    <row r="37" spans="1:25" x14ac:dyDescent="0.2">
      <c r="C37" s="2" t="s">
        <v>19</v>
      </c>
    </row>
    <row r="38" spans="1:25" x14ac:dyDescent="0.2">
      <c r="C38" s="7" t="s">
        <v>20</v>
      </c>
      <c r="D38" s="29"/>
      <c r="E38" s="29"/>
      <c r="F38" s="29"/>
      <c r="G38" s="29"/>
      <c r="H38" s="19">
        <f>IFERROR((H28-SUM(H20:H27)),"")</f>
        <v>0</v>
      </c>
      <c r="I38" s="19">
        <f>IFERROR((I28-SUM(I20:I27)),"")</f>
        <v>0</v>
      </c>
      <c r="J38" s="19">
        <f>IFERROR((J28-SUM(J20:J27)),"")</f>
        <v>-1.1368683772161603E-13</v>
      </c>
      <c r="L38" s="19"/>
      <c r="M38" s="19"/>
      <c r="N38" s="19"/>
      <c r="O38" s="19"/>
      <c r="P38" s="19">
        <f>IFERROR((P28-SUM(P20:P27)),"")</f>
        <v>0</v>
      </c>
      <c r="Q38" s="19">
        <f t="shared" ref="Q38:U38" si="4">IFERROR((Q28-SUM(Q20:Q27)),"")</f>
        <v>-96</v>
      </c>
      <c r="R38" s="19">
        <f t="shared" si="4"/>
        <v>0</v>
      </c>
      <c r="S38" s="19">
        <f t="shared" si="4"/>
        <v>0</v>
      </c>
      <c r="T38" s="19">
        <f t="shared" si="4"/>
        <v>0</v>
      </c>
      <c r="U38" s="19">
        <f t="shared" si="4"/>
        <v>-124</v>
      </c>
      <c r="V38" s="19"/>
      <c r="W38" s="19"/>
    </row>
    <row r="39" spans="1:25" x14ac:dyDescent="0.2">
      <c r="C39" s="7" t="s">
        <v>21</v>
      </c>
      <c r="D39" s="29"/>
      <c r="E39" s="29"/>
      <c r="F39" s="29"/>
      <c r="G39" s="29"/>
      <c r="H39" s="19">
        <f>IFERROR((H35-SUM(H28:H32)-H34),"")</f>
        <v>0</v>
      </c>
      <c r="I39" s="19">
        <f>IFERROR((I35-SUM(I28:I32)-I34),"")</f>
        <v>0</v>
      </c>
      <c r="J39" s="19">
        <f>IFERROR((J35-SUM(J28:J32)-J34),"")</f>
        <v>-1.4210854715202004E-14</v>
      </c>
      <c r="L39" s="19"/>
      <c r="M39" s="19"/>
      <c r="N39" s="19"/>
      <c r="O39" s="19"/>
      <c r="P39" s="19">
        <f>IFERROR((P35-SUM(P28:P32)-P34),"")</f>
        <v>0</v>
      </c>
      <c r="Q39" s="19">
        <f t="shared" ref="Q39:S39" si="5">IFERROR((Q35-SUM(Q28:Q32)-Q34),"")</f>
        <v>0</v>
      </c>
      <c r="R39" s="19">
        <f t="shared" si="5"/>
        <v>0</v>
      </c>
      <c r="S39" s="19">
        <f t="shared" si="5"/>
        <v>0</v>
      </c>
      <c r="T39" s="19">
        <f>IFERROR((T35-SUM(T28:T32)-T34),"")</f>
        <v>0</v>
      </c>
      <c r="U39" s="19">
        <f>IFERROR((U35-SUM(U28:U32)-U34),"")</f>
        <v>0</v>
      </c>
      <c r="V39" s="19"/>
      <c r="W39" s="19"/>
    </row>
    <row r="41" spans="1:25" x14ac:dyDescent="0.2">
      <c r="B41" s="2" t="s">
        <v>24</v>
      </c>
    </row>
    <row r="42" spans="1:25" x14ac:dyDescent="0.2">
      <c r="B42" s="2"/>
      <c r="C42" s="1" t="s">
        <v>0</v>
      </c>
      <c r="H42" s="12">
        <v>911</v>
      </c>
      <c r="I42" s="12">
        <v>915</v>
      </c>
      <c r="J42" s="97">
        <f>Model!J602</f>
        <v>1028.6903190336634</v>
      </c>
      <c r="L42" s="12"/>
      <c r="M42" s="12"/>
      <c r="N42" s="12"/>
      <c r="O42" s="12"/>
      <c r="P42" s="12">
        <v>185</v>
      </c>
      <c r="T42" s="12">
        <v>254</v>
      </c>
      <c r="U42" s="12"/>
      <c r="V42" s="12"/>
      <c r="W42" s="12"/>
    </row>
    <row r="43" spans="1:25" x14ac:dyDescent="0.2">
      <c r="B43" s="2"/>
      <c r="C43" s="1" t="s">
        <v>25</v>
      </c>
      <c r="H43" s="12">
        <v>859</v>
      </c>
      <c r="I43" s="12">
        <v>865</v>
      </c>
      <c r="J43" s="97">
        <f>Model!J600</f>
        <v>975.99956902239501</v>
      </c>
      <c r="L43" s="12"/>
      <c r="M43" s="12"/>
      <c r="N43" s="12"/>
      <c r="O43" s="12"/>
      <c r="P43" s="12">
        <v>174</v>
      </c>
      <c r="T43" s="12">
        <v>240</v>
      </c>
      <c r="U43" s="12"/>
      <c r="V43" s="12"/>
      <c r="W43" s="12"/>
      <c r="Y43" s="234">
        <f>T43/P43-1</f>
        <v>0.3793103448275863</v>
      </c>
    </row>
    <row r="44" spans="1:25" x14ac:dyDescent="0.2">
      <c r="C44" s="1" t="s">
        <v>26</v>
      </c>
      <c r="H44" s="12">
        <v>52</v>
      </c>
      <c r="I44" s="12">
        <v>50</v>
      </c>
      <c r="J44" s="97">
        <f>Model!J601</f>
        <v>52.690750011268349</v>
      </c>
      <c r="L44" s="12"/>
      <c r="M44" s="12"/>
      <c r="N44" s="12"/>
      <c r="O44" s="12"/>
      <c r="P44" s="12">
        <v>11</v>
      </c>
      <c r="T44" s="12">
        <v>14</v>
      </c>
      <c r="U44" s="12"/>
      <c r="V44" s="12"/>
      <c r="W44" s="12"/>
    </row>
    <row r="45" spans="1:25" x14ac:dyDescent="0.2">
      <c r="C45" s="1" t="s">
        <v>27</v>
      </c>
      <c r="H45" s="12">
        <v>4</v>
      </c>
      <c r="I45" s="12">
        <v>4</v>
      </c>
      <c r="J45" s="97">
        <f>Model!J603</f>
        <v>3.8486055776892436</v>
      </c>
      <c r="L45" s="12"/>
      <c r="M45" s="12"/>
      <c r="N45" s="12"/>
      <c r="O45" s="12"/>
      <c r="P45" s="12">
        <v>1</v>
      </c>
      <c r="T45" s="12">
        <v>1</v>
      </c>
      <c r="U45" s="12"/>
      <c r="V45" s="12"/>
      <c r="W45" s="12"/>
    </row>
    <row r="46" spans="1:25" s="17" customFormat="1" x14ac:dyDescent="0.2">
      <c r="A46" s="10"/>
      <c r="B46" s="2"/>
      <c r="C46" s="2" t="s">
        <v>28</v>
      </c>
      <c r="D46" s="10"/>
      <c r="E46" s="10"/>
      <c r="F46" s="10"/>
      <c r="G46" s="10"/>
      <c r="H46" s="24">
        <v>915</v>
      </c>
      <c r="I46" s="24">
        <v>919</v>
      </c>
      <c r="J46" s="97">
        <f>Model!J604</f>
        <v>1032.5389246113527</v>
      </c>
      <c r="L46" s="24"/>
      <c r="M46" s="24"/>
      <c r="N46" s="24"/>
      <c r="O46" s="24"/>
      <c r="P46" s="17">
        <f>P20</f>
        <v>186</v>
      </c>
      <c r="Q46" s="17">
        <f>Q20</f>
        <v>235</v>
      </c>
      <c r="T46" s="17">
        <f>T20</f>
        <v>255</v>
      </c>
      <c r="U46" s="17">
        <f>U20</f>
        <v>284</v>
      </c>
    </row>
    <row r="48" spans="1:25" x14ac:dyDescent="0.2">
      <c r="B48" s="2" t="s">
        <v>110</v>
      </c>
    </row>
    <row r="50" spans="1:26" s="17" customFormat="1" x14ac:dyDescent="0.2">
      <c r="A50" s="10"/>
      <c r="B50" s="2"/>
      <c r="C50" s="2" t="s">
        <v>10</v>
      </c>
      <c r="D50" s="10"/>
      <c r="E50" s="10"/>
      <c r="F50" s="10"/>
      <c r="G50" s="10"/>
      <c r="H50" s="17">
        <f>H28</f>
        <v>363</v>
      </c>
      <c r="I50" s="17">
        <f>I28</f>
        <v>348</v>
      </c>
      <c r="J50" s="17">
        <f>J28</f>
        <v>352.16453953247225</v>
      </c>
      <c r="P50" s="17">
        <f>P28</f>
        <v>49</v>
      </c>
      <c r="Q50" s="17">
        <f>Q28</f>
        <v>100</v>
      </c>
      <c r="T50" s="17">
        <f>T28</f>
        <v>94</v>
      </c>
      <c r="U50" s="17">
        <f>U28</f>
        <v>107</v>
      </c>
      <c r="Y50" s="17" t="s">
        <v>111</v>
      </c>
    </row>
    <row r="51" spans="1:26" x14ac:dyDescent="0.2">
      <c r="C51" s="36" t="s">
        <v>113</v>
      </c>
      <c r="H51" s="13">
        <f>-H24</f>
        <v>127</v>
      </c>
      <c r="I51" s="13">
        <f>-I24</f>
        <v>118</v>
      </c>
      <c r="J51" s="13">
        <f>-J24</f>
        <v>141.42951409365418</v>
      </c>
      <c r="P51" s="13">
        <f>-P24</f>
        <v>31</v>
      </c>
      <c r="Q51" s="13">
        <f>-Q24</f>
        <v>28</v>
      </c>
      <c r="T51" s="13">
        <f>-T24</f>
        <v>31</v>
      </c>
      <c r="U51" s="13">
        <f>-U24</f>
        <v>35</v>
      </c>
    </row>
    <row r="52" spans="1:26" x14ac:dyDescent="0.2">
      <c r="C52" s="36" t="s">
        <v>114</v>
      </c>
      <c r="H52" s="13">
        <f t="shared" ref="H52:I54" si="6">-H25</f>
        <v>49</v>
      </c>
      <c r="I52" s="13">
        <f t="shared" si="6"/>
        <v>45</v>
      </c>
      <c r="J52" s="13">
        <f t="shared" ref="J52" si="7">-J25</f>
        <v>49.561868381344937</v>
      </c>
      <c r="P52" s="13">
        <f t="shared" ref="P52:Q54" si="8">-P25</f>
        <v>12</v>
      </c>
      <c r="Q52" s="13">
        <f t="shared" si="8"/>
        <v>10</v>
      </c>
      <c r="T52" s="13">
        <f t="shared" ref="T52:U54" si="9">-T25</f>
        <v>13</v>
      </c>
      <c r="U52" s="13">
        <f t="shared" si="9"/>
        <v>16</v>
      </c>
    </row>
    <row r="53" spans="1:26" x14ac:dyDescent="0.2">
      <c r="C53" s="36" t="s">
        <v>115</v>
      </c>
      <c r="H53" s="13">
        <f t="shared" si="6"/>
        <v>1</v>
      </c>
      <c r="I53" s="13">
        <f t="shared" si="6"/>
        <v>3</v>
      </c>
      <c r="J53" s="13">
        <f t="shared" ref="J53" si="10">-J26</f>
        <v>3.3706384916583878</v>
      </c>
      <c r="P53" s="13">
        <f t="shared" si="8"/>
        <v>1</v>
      </c>
      <c r="Q53" s="13">
        <f t="shared" si="8"/>
        <v>1</v>
      </c>
      <c r="T53" s="13">
        <f t="shared" si="9"/>
        <v>2</v>
      </c>
      <c r="U53" s="13">
        <f t="shared" si="9"/>
        <v>2</v>
      </c>
    </row>
    <row r="54" spans="1:26" x14ac:dyDescent="0.2">
      <c r="C54" s="1" t="s">
        <v>9</v>
      </c>
      <c r="H54" s="13">
        <f t="shared" si="6"/>
        <v>-2</v>
      </c>
      <c r="I54" s="13">
        <f t="shared" si="6"/>
        <v>1</v>
      </c>
      <c r="J54" s="13">
        <f t="shared" ref="J54" si="11">-J27</f>
        <v>1.1235461638861293</v>
      </c>
      <c r="P54" s="13">
        <f t="shared" si="8"/>
        <v>0</v>
      </c>
      <c r="Q54" s="13">
        <f t="shared" si="8"/>
        <v>0</v>
      </c>
      <c r="T54" s="13">
        <f t="shared" si="9"/>
        <v>0</v>
      </c>
      <c r="U54" s="13">
        <f t="shared" si="9"/>
        <v>0</v>
      </c>
    </row>
    <row r="55" spans="1:26" s="17" customFormat="1" x14ac:dyDescent="0.2">
      <c r="A55" s="10"/>
      <c r="B55" s="2"/>
      <c r="C55" s="4" t="s">
        <v>112</v>
      </c>
      <c r="D55" s="27"/>
      <c r="E55" s="27"/>
      <c r="F55" s="27"/>
      <c r="G55" s="27"/>
      <c r="H55" s="23">
        <f>SUM(H50:H54)</f>
        <v>538</v>
      </c>
      <c r="I55" s="23">
        <f>SUM(I50:I54)</f>
        <v>515</v>
      </c>
      <c r="J55" s="23">
        <f>SUM(J50:J54)</f>
        <v>547.65010666301589</v>
      </c>
      <c r="L55" s="23"/>
      <c r="M55" s="23"/>
      <c r="N55" s="23"/>
      <c r="O55" s="23"/>
      <c r="P55" s="23">
        <f>SUM(P50:P54)</f>
        <v>93</v>
      </c>
      <c r="Q55" s="16">
        <v>139</v>
      </c>
      <c r="R55" s="23"/>
      <c r="S55" s="23"/>
      <c r="T55" s="23">
        <f>SUM(T50:T54)</f>
        <v>140</v>
      </c>
      <c r="U55" s="16">
        <v>165</v>
      </c>
      <c r="V55" s="24"/>
      <c r="W55" s="24"/>
      <c r="Z55" s="508">
        <f>T55/P55-1</f>
        <v>0.5053763440860215</v>
      </c>
    </row>
    <row r="56" spans="1:26" x14ac:dyDescent="0.2">
      <c r="P56" s="52">
        <f>P55/P46</f>
        <v>0.5</v>
      </c>
      <c r="Q56" s="52">
        <f>Q55/Q46</f>
        <v>0.59148936170212763</v>
      </c>
      <c r="R56" s="52"/>
      <c r="S56" s="52"/>
      <c r="T56" s="52">
        <f>T55/T46</f>
        <v>0.5490196078431373</v>
      </c>
      <c r="U56" s="52">
        <f>U55/U46</f>
        <v>0.58098591549295775</v>
      </c>
      <c r="V56" s="52"/>
      <c r="W56" s="52"/>
    </row>
    <row r="57" spans="1:26" x14ac:dyDescent="0.2">
      <c r="B57" s="2" t="s">
        <v>35</v>
      </c>
    </row>
    <row r="58" spans="1:26" x14ac:dyDescent="0.2">
      <c r="C58" s="1" t="s">
        <v>36</v>
      </c>
      <c r="H58" s="12">
        <v>207</v>
      </c>
      <c r="I58" s="12">
        <v>237</v>
      </c>
      <c r="J58" s="97">
        <f>Model!J392</f>
        <v>258.13473115283819</v>
      </c>
      <c r="L58" s="12"/>
      <c r="M58" s="12"/>
      <c r="N58" s="12"/>
      <c r="O58" s="12"/>
      <c r="P58" s="12">
        <v>40</v>
      </c>
      <c r="T58" s="12">
        <v>85</v>
      </c>
      <c r="U58" s="12"/>
      <c r="V58" s="12"/>
      <c r="W58" s="12"/>
    </row>
    <row r="59" spans="1:26" x14ac:dyDescent="0.2">
      <c r="C59" s="1" t="s">
        <v>37</v>
      </c>
      <c r="H59" s="12">
        <v>50</v>
      </c>
      <c r="I59" s="12">
        <v>94</v>
      </c>
      <c r="J59" s="97">
        <f>Model!J393</f>
        <v>61.952335476681164</v>
      </c>
      <c r="L59" s="12"/>
      <c r="M59" s="12"/>
      <c r="N59" s="12"/>
      <c r="O59" s="12"/>
      <c r="P59" s="12">
        <v>9</v>
      </c>
      <c r="T59" s="12">
        <v>9</v>
      </c>
      <c r="U59" s="12"/>
      <c r="V59" s="12"/>
      <c r="W59" s="12"/>
    </row>
    <row r="60" spans="1:26" x14ac:dyDescent="0.2">
      <c r="C60" s="1" t="s">
        <v>38</v>
      </c>
      <c r="H60" s="12">
        <v>0</v>
      </c>
      <c r="I60" s="12">
        <v>35</v>
      </c>
      <c r="J60" s="97">
        <f>Model!J394</f>
        <v>0</v>
      </c>
      <c r="L60" s="12"/>
      <c r="M60" s="12"/>
      <c r="N60" s="12"/>
      <c r="O60" s="12"/>
      <c r="P60" s="12">
        <v>0</v>
      </c>
      <c r="T60" s="12">
        <v>0</v>
      </c>
      <c r="U60" s="12"/>
      <c r="V60" s="12"/>
      <c r="W60" s="12"/>
    </row>
    <row r="61" spans="1:26" x14ac:dyDescent="0.2">
      <c r="C61" s="1" t="s">
        <v>39</v>
      </c>
      <c r="H61" s="12">
        <v>102</v>
      </c>
      <c r="I61" s="12">
        <v>75</v>
      </c>
      <c r="J61" s="97">
        <f>Model!J395</f>
        <v>-81.688206061024744</v>
      </c>
      <c r="L61" s="12"/>
      <c r="M61" s="12"/>
      <c r="N61" s="12"/>
      <c r="O61" s="12"/>
      <c r="P61" s="12">
        <v>24</v>
      </c>
      <c r="T61" s="12">
        <v>43</v>
      </c>
      <c r="U61" s="12"/>
      <c r="V61" s="12"/>
      <c r="W61" s="12"/>
    </row>
    <row r="62" spans="1:26" s="17" customFormat="1" x14ac:dyDescent="0.2">
      <c r="A62" s="10"/>
      <c r="B62" s="2"/>
      <c r="C62" s="4" t="s">
        <v>40</v>
      </c>
      <c r="D62" s="27"/>
      <c r="E62" s="27"/>
      <c r="F62" s="27"/>
      <c r="G62" s="27"/>
      <c r="H62" s="16">
        <v>155</v>
      </c>
      <c r="I62" s="16">
        <v>221</v>
      </c>
      <c r="J62" s="584">
        <f>Model!J396</f>
        <v>238.39886056849463</v>
      </c>
      <c r="K62" s="23"/>
      <c r="L62" s="16"/>
      <c r="M62" s="16"/>
      <c r="N62" s="16"/>
      <c r="O62" s="16"/>
      <c r="P62" s="16">
        <v>25</v>
      </c>
      <c r="Q62" s="23"/>
      <c r="R62" s="23"/>
      <c r="S62" s="23"/>
      <c r="T62" s="16">
        <v>51</v>
      </c>
      <c r="U62" s="16"/>
      <c r="V62" s="24"/>
      <c r="W62" s="24"/>
    </row>
    <row r="64" spans="1:26" x14ac:dyDescent="0.2">
      <c r="A64" s="8" t="s">
        <v>22</v>
      </c>
      <c r="B64" s="37" t="s">
        <v>23</v>
      </c>
      <c r="C64" s="6"/>
      <c r="D64" s="26"/>
      <c r="E64" s="26"/>
      <c r="F64" s="26"/>
      <c r="G64" s="26"/>
      <c r="H64" s="14"/>
      <c r="I64" s="14"/>
      <c r="J64" s="14"/>
      <c r="K64" s="14"/>
      <c r="L64" s="14"/>
      <c r="M64" s="14"/>
      <c r="N64" s="14"/>
      <c r="O64" s="14"/>
      <c r="P64" s="14"/>
      <c r="Q64" s="14"/>
      <c r="R64" s="14"/>
      <c r="S64" s="14"/>
      <c r="T64" s="14"/>
      <c r="U64" s="14"/>
      <c r="V64" s="14"/>
      <c r="W64" s="14"/>
    </row>
    <row r="66" spans="1:23" s="17" customFormat="1" x14ac:dyDescent="0.2">
      <c r="A66" s="10"/>
      <c r="B66" s="2"/>
      <c r="C66" s="2" t="s">
        <v>41</v>
      </c>
      <c r="D66" s="10"/>
      <c r="E66" s="10"/>
      <c r="F66" s="10"/>
      <c r="G66" s="10"/>
    </row>
    <row r="67" spans="1:23" s="17" customFormat="1" x14ac:dyDescent="0.2">
      <c r="A67" s="10"/>
      <c r="B67" s="2"/>
      <c r="C67" s="2" t="s">
        <v>42</v>
      </c>
      <c r="D67" s="10"/>
      <c r="E67" s="10"/>
      <c r="F67" s="10"/>
      <c r="G67" s="10"/>
    </row>
    <row r="68" spans="1:23" x14ac:dyDescent="0.2">
      <c r="C68" s="1" t="s">
        <v>43</v>
      </c>
      <c r="H68" s="12">
        <v>597</v>
      </c>
      <c r="I68" s="12">
        <v>624</v>
      </c>
      <c r="J68" s="97">
        <f>Model!J684</f>
        <v>740.70521705918395</v>
      </c>
      <c r="T68" s="12">
        <v>703</v>
      </c>
      <c r="U68" s="12"/>
      <c r="V68" s="12"/>
      <c r="W68" s="12"/>
    </row>
    <row r="69" spans="1:23" x14ac:dyDescent="0.2">
      <c r="C69" s="1" t="s">
        <v>44</v>
      </c>
      <c r="H69" s="12">
        <v>272</v>
      </c>
      <c r="I69" s="12">
        <v>297</v>
      </c>
      <c r="J69" s="97">
        <f>Model!J685</f>
        <v>309.39046709533625</v>
      </c>
      <c r="T69" s="12">
        <v>297</v>
      </c>
      <c r="U69" s="12"/>
      <c r="V69" s="12"/>
      <c r="W69" s="12"/>
    </row>
    <row r="70" spans="1:23" x14ac:dyDescent="0.2">
      <c r="C70" s="1" t="s">
        <v>45</v>
      </c>
      <c r="H70" s="12">
        <v>343</v>
      </c>
      <c r="I70" s="12">
        <v>0</v>
      </c>
      <c r="J70" s="97">
        <f>Model!J686</f>
        <v>0</v>
      </c>
      <c r="T70" s="12"/>
      <c r="U70" s="12"/>
      <c r="V70" s="12"/>
      <c r="W70" s="12"/>
    </row>
    <row r="71" spans="1:23" x14ac:dyDescent="0.2">
      <c r="C71" s="1" t="s">
        <v>46</v>
      </c>
      <c r="H71" s="12">
        <v>67</v>
      </c>
      <c r="I71" s="12">
        <v>80</v>
      </c>
      <c r="J71" s="97">
        <f>Model!J687</f>
        <v>247.48198308279609</v>
      </c>
      <c r="T71" s="12">
        <v>61</v>
      </c>
      <c r="U71" s="12"/>
      <c r="V71" s="12"/>
      <c r="W71" s="12"/>
    </row>
    <row r="72" spans="1:23" s="17" customFormat="1" x14ac:dyDescent="0.2">
      <c r="A72" s="10"/>
      <c r="B72" s="2"/>
      <c r="C72" s="2" t="s">
        <v>47</v>
      </c>
      <c r="D72" s="10"/>
      <c r="E72" s="10"/>
      <c r="F72" s="10"/>
      <c r="G72" s="10"/>
      <c r="H72" s="24">
        <v>1279</v>
      </c>
      <c r="I72" s="24">
        <v>1001</v>
      </c>
      <c r="J72" s="96">
        <f>Model!J688</f>
        <v>1297.5776672373163</v>
      </c>
      <c r="T72" s="24">
        <v>1061</v>
      </c>
      <c r="U72" s="24"/>
      <c r="V72" s="24"/>
      <c r="W72" s="24"/>
    </row>
    <row r="73" spans="1:23" s="17" customFormat="1" x14ac:dyDescent="0.2">
      <c r="A73" s="10"/>
      <c r="B73" s="2"/>
      <c r="C73" s="2"/>
      <c r="D73" s="10"/>
      <c r="E73" s="10"/>
      <c r="F73" s="10"/>
      <c r="G73" s="10"/>
    </row>
    <row r="74" spans="1:23" s="17" customFormat="1" x14ac:dyDescent="0.2">
      <c r="A74" s="10"/>
      <c r="B74" s="2"/>
      <c r="C74" s="2" t="s">
        <v>48</v>
      </c>
      <c r="D74" s="10"/>
      <c r="E74" s="10"/>
      <c r="F74" s="10"/>
      <c r="G74" s="10"/>
    </row>
    <row r="75" spans="1:23" x14ac:dyDescent="0.2">
      <c r="C75" s="1" t="s">
        <v>49</v>
      </c>
      <c r="H75" s="12">
        <v>4</v>
      </c>
      <c r="I75" s="12">
        <v>3</v>
      </c>
      <c r="J75" s="97">
        <f>Model!J691</f>
        <v>3.9901618464251873</v>
      </c>
      <c r="T75" s="12">
        <v>3</v>
      </c>
      <c r="U75" s="12"/>
      <c r="V75" s="12"/>
      <c r="W75" s="12"/>
    </row>
    <row r="76" spans="1:23" x14ac:dyDescent="0.2">
      <c r="C76" s="1" t="s">
        <v>50</v>
      </c>
      <c r="H76" s="12">
        <v>55</v>
      </c>
      <c r="I76" s="12">
        <v>40</v>
      </c>
      <c r="J76" s="97">
        <f>Model!J692</f>
        <v>44.941846555445167</v>
      </c>
      <c r="T76" s="12">
        <v>38</v>
      </c>
      <c r="U76" s="12"/>
      <c r="V76" s="12"/>
      <c r="W76" s="12"/>
    </row>
    <row r="77" spans="1:23" x14ac:dyDescent="0.2">
      <c r="C77" s="1" t="s">
        <v>45</v>
      </c>
      <c r="H77" s="12">
        <v>0</v>
      </c>
      <c r="I77" s="12">
        <v>363</v>
      </c>
      <c r="J77" s="97">
        <f>Model!J693</f>
        <v>1</v>
      </c>
      <c r="T77" s="12">
        <v>369</v>
      </c>
      <c r="U77" s="12"/>
      <c r="V77" s="12"/>
      <c r="W77" s="12"/>
    </row>
    <row r="78" spans="1:23" x14ac:dyDescent="0.2">
      <c r="C78" s="1" t="s">
        <v>51</v>
      </c>
      <c r="H78" s="12">
        <v>0</v>
      </c>
      <c r="I78" s="12">
        <v>8</v>
      </c>
      <c r="J78" s="97">
        <f>Model!J694</f>
        <v>8</v>
      </c>
      <c r="T78" s="12">
        <v>0</v>
      </c>
      <c r="U78" s="12"/>
      <c r="V78" s="12"/>
      <c r="W78" s="12"/>
    </row>
    <row r="79" spans="1:23" x14ac:dyDescent="0.2">
      <c r="C79" s="1" t="s">
        <v>592</v>
      </c>
      <c r="H79" s="12"/>
      <c r="I79" s="12"/>
      <c r="T79" s="12">
        <v>32</v>
      </c>
      <c r="U79" s="12"/>
      <c r="V79" s="12"/>
      <c r="W79" s="12"/>
    </row>
    <row r="80" spans="1:23" x14ac:dyDescent="0.2">
      <c r="C80" s="1" t="s">
        <v>52</v>
      </c>
      <c r="H80" s="12">
        <v>207</v>
      </c>
      <c r="I80" s="12">
        <v>94</v>
      </c>
      <c r="J80" s="97">
        <f>Model!J695</f>
        <v>105.61333940529614</v>
      </c>
      <c r="T80" s="12">
        <v>105</v>
      </c>
      <c r="U80" s="12"/>
      <c r="V80" s="12"/>
      <c r="W80" s="12"/>
    </row>
    <row r="81" spans="1:23" x14ac:dyDescent="0.2">
      <c r="C81" s="1" t="s">
        <v>46</v>
      </c>
      <c r="H81" s="12">
        <v>13</v>
      </c>
      <c r="I81" s="12">
        <v>26</v>
      </c>
      <c r="J81" s="97">
        <f>Model!J696</f>
        <v>29.212200261039357</v>
      </c>
      <c r="T81" s="12">
        <v>32</v>
      </c>
      <c r="U81" s="12"/>
      <c r="V81" s="12"/>
      <c r="W81" s="12"/>
    </row>
    <row r="82" spans="1:23" x14ac:dyDescent="0.2">
      <c r="C82" s="1" t="s">
        <v>53</v>
      </c>
      <c r="H82" s="12">
        <v>425</v>
      </c>
      <c r="I82" s="12">
        <v>674</v>
      </c>
      <c r="J82" s="97">
        <f>Model!J697</f>
        <v>654.98936795356803</v>
      </c>
      <c r="T82" s="12">
        <v>712</v>
      </c>
      <c r="U82" s="12"/>
      <c r="V82" s="12"/>
      <c r="W82" s="12"/>
    </row>
    <row r="83" spans="1:23" s="17" customFormat="1" x14ac:dyDescent="0.2">
      <c r="A83" s="10"/>
      <c r="B83" s="2"/>
      <c r="C83" s="2" t="s">
        <v>54</v>
      </c>
      <c r="D83" s="10"/>
      <c r="E83" s="10"/>
      <c r="F83" s="10"/>
      <c r="G83" s="10"/>
      <c r="H83" s="24">
        <v>704</v>
      </c>
      <c r="I83" s="24">
        <v>1208</v>
      </c>
      <c r="J83" s="96">
        <f>Model!J698</f>
        <v>847.74691602177393</v>
      </c>
      <c r="T83" s="24">
        <v>1291</v>
      </c>
      <c r="U83" s="24"/>
      <c r="V83" s="24"/>
      <c r="W83" s="24"/>
    </row>
    <row r="84" spans="1:23" s="17" customFormat="1" x14ac:dyDescent="0.2">
      <c r="A84" s="10"/>
      <c r="B84" s="2"/>
      <c r="C84" s="2"/>
      <c r="D84" s="10"/>
      <c r="E84" s="10"/>
      <c r="F84" s="10"/>
      <c r="G84" s="10"/>
      <c r="J84" s="97"/>
    </row>
    <row r="85" spans="1:23" s="17" customFormat="1" x14ac:dyDescent="0.2">
      <c r="A85" s="10"/>
      <c r="B85" s="2"/>
      <c r="C85" s="2" t="s">
        <v>55</v>
      </c>
      <c r="D85" s="10"/>
      <c r="E85" s="10"/>
      <c r="F85" s="10"/>
      <c r="G85" s="10"/>
      <c r="H85" s="24">
        <v>1983</v>
      </c>
      <c r="I85" s="24">
        <v>2209</v>
      </c>
      <c r="J85" s="96">
        <f>Model!J700</f>
        <v>2145.3245832590901</v>
      </c>
      <c r="T85" s="24">
        <v>2352</v>
      </c>
      <c r="U85" s="24"/>
      <c r="V85" s="24"/>
      <c r="W85" s="24"/>
    </row>
    <row r="87" spans="1:23" s="17" customFormat="1" x14ac:dyDescent="0.2">
      <c r="A87" s="10"/>
      <c r="B87" s="2"/>
      <c r="C87" s="2" t="s">
        <v>56</v>
      </c>
      <c r="D87" s="10"/>
      <c r="E87" s="10"/>
      <c r="F87" s="10"/>
      <c r="G87" s="10"/>
    </row>
    <row r="88" spans="1:23" s="17" customFormat="1" x14ac:dyDescent="0.2">
      <c r="A88" s="10"/>
      <c r="B88" s="2"/>
      <c r="C88" s="2" t="s">
        <v>57</v>
      </c>
      <c r="D88" s="10"/>
      <c r="E88" s="10"/>
      <c r="F88" s="10"/>
      <c r="G88" s="10"/>
    </row>
    <row r="89" spans="1:23" x14ac:dyDescent="0.2">
      <c r="C89" s="1" t="s">
        <v>58</v>
      </c>
      <c r="H89" s="12">
        <v>887</v>
      </c>
      <c r="I89" s="12">
        <v>1080</v>
      </c>
      <c r="J89" s="97">
        <f>Model!J704</f>
        <v>1525.0322071361106</v>
      </c>
      <c r="T89" s="12">
        <v>1141</v>
      </c>
      <c r="U89" s="12"/>
      <c r="V89" s="12"/>
      <c r="W89" s="12"/>
    </row>
    <row r="90" spans="1:23" s="17" customFormat="1" x14ac:dyDescent="0.2">
      <c r="A90" s="10"/>
      <c r="B90" s="2"/>
      <c r="C90" s="2" t="s">
        <v>59</v>
      </c>
      <c r="D90" s="10"/>
      <c r="E90" s="10"/>
      <c r="F90" s="10"/>
      <c r="G90" s="10"/>
      <c r="H90" s="24">
        <v>887</v>
      </c>
      <c r="I90" s="24">
        <v>1080</v>
      </c>
      <c r="J90" s="96">
        <f>Model!J705</f>
        <v>1525.0322071361106</v>
      </c>
      <c r="T90" s="24">
        <v>1141</v>
      </c>
      <c r="U90" s="24"/>
      <c r="V90" s="24"/>
      <c r="W90" s="24"/>
    </row>
    <row r="92" spans="1:23" s="17" customFormat="1" x14ac:dyDescent="0.2">
      <c r="A92" s="10"/>
      <c r="B92" s="2"/>
      <c r="C92" s="2" t="s">
        <v>60</v>
      </c>
      <c r="D92" s="10"/>
      <c r="E92" s="10"/>
      <c r="F92" s="10"/>
      <c r="G92" s="10"/>
    </row>
    <row r="93" spans="1:23" x14ac:dyDescent="0.2">
      <c r="C93" s="1" t="s">
        <v>61</v>
      </c>
      <c r="H93" s="12">
        <v>815</v>
      </c>
      <c r="I93" s="12">
        <v>225</v>
      </c>
      <c r="J93" s="97">
        <f>Model!J708</f>
        <v>238</v>
      </c>
      <c r="T93" s="12">
        <v>252</v>
      </c>
      <c r="U93" s="12"/>
      <c r="V93" s="12"/>
      <c r="W93" s="12"/>
    </row>
    <row r="94" spans="1:23" x14ac:dyDescent="0.2">
      <c r="C94" s="1" t="s">
        <v>62</v>
      </c>
      <c r="H94" s="12">
        <v>3</v>
      </c>
      <c r="I94" s="12">
        <v>4</v>
      </c>
      <c r="J94" s="97">
        <f>Model!J709</f>
        <v>4.4941846555445171</v>
      </c>
      <c r="T94" s="12">
        <v>6</v>
      </c>
      <c r="U94" s="12"/>
      <c r="V94" s="12"/>
      <c r="W94" s="12"/>
    </row>
    <row r="95" spans="1:23" x14ac:dyDescent="0.2">
      <c r="C95" s="1" t="s">
        <v>63</v>
      </c>
      <c r="H95" s="12">
        <v>5</v>
      </c>
      <c r="I95" s="12">
        <v>6</v>
      </c>
      <c r="J95" s="97">
        <f>Model!J710</f>
        <v>6.7412769833167756</v>
      </c>
      <c r="T95" s="12">
        <v>6</v>
      </c>
      <c r="U95" s="12"/>
      <c r="V95" s="12"/>
      <c r="W95" s="12"/>
    </row>
    <row r="96" spans="1:23" x14ac:dyDescent="0.2">
      <c r="C96" s="1" t="s">
        <v>64</v>
      </c>
      <c r="H96" s="12">
        <v>8</v>
      </c>
      <c r="I96" s="12">
        <v>7</v>
      </c>
      <c r="J96" s="97">
        <f>Model!J711</f>
        <v>7.8648231472029044</v>
      </c>
      <c r="T96" s="12">
        <v>7</v>
      </c>
      <c r="U96" s="12"/>
      <c r="V96" s="12"/>
      <c r="W96" s="12"/>
    </row>
    <row r="97" spans="1:23" s="17" customFormat="1" x14ac:dyDescent="0.2">
      <c r="A97" s="10"/>
      <c r="B97" s="2"/>
      <c r="C97" s="2" t="s">
        <v>65</v>
      </c>
      <c r="D97" s="10"/>
      <c r="E97" s="10"/>
      <c r="F97" s="10"/>
      <c r="G97" s="10"/>
      <c r="H97" s="24">
        <v>831</v>
      </c>
      <c r="I97" s="24">
        <v>242</v>
      </c>
      <c r="J97" s="96">
        <f>Model!J712</f>
        <v>257.10028478606421</v>
      </c>
      <c r="T97" s="24">
        <v>271</v>
      </c>
      <c r="U97" s="24"/>
      <c r="V97" s="24"/>
      <c r="W97" s="24"/>
    </row>
    <row r="98" spans="1:23" s="17" customFormat="1" x14ac:dyDescent="0.2">
      <c r="A98" s="10"/>
      <c r="B98" s="2"/>
      <c r="C98" s="2"/>
      <c r="D98" s="10"/>
      <c r="E98" s="10"/>
      <c r="F98" s="10"/>
      <c r="G98" s="10"/>
    </row>
    <row r="99" spans="1:23" s="17" customFormat="1" x14ac:dyDescent="0.2">
      <c r="A99" s="10"/>
      <c r="B99" s="2"/>
      <c r="C99" s="2" t="s">
        <v>66</v>
      </c>
      <c r="D99" s="10"/>
      <c r="E99" s="10"/>
      <c r="F99" s="10"/>
      <c r="G99" s="10"/>
    </row>
    <row r="100" spans="1:23" x14ac:dyDescent="0.2">
      <c r="C100" s="1" t="s">
        <v>67</v>
      </c>
      <c r="H100" s="12">
        <v>120</v>
      </c>
      <c r="I100" s="12">
        <v>132</v>
      </c>
      <c r="J100" s="97">
        <f>Model!J715</f>
        <v>175.56712124270825</v>
      </c>
      <c r="T100" s="12">
        <v>146</v>
      </c>
      <c r="U100" s="12"/>
      <c r="V100" s="12"/>
      <c r="W100" s="12"/>
    </row>
    <row r="101" spans="1:23" x14ac:dyDescent="0.2">
      <c r="C101" s="1" t="s">
        <v>61</v>
      </c>
      <c r="H101" s="12">
        <v>83</v>
      </c>
      <c r="I101" s="12">
        <v>669</v>
      </c>
      <c r="J101" s="97">
        <f>Model!J716</f>
        <v>91</v>
      </c>
      <c r="T101" s="12">
        <v>708</v>
      </c>
      <c r="U101" s="12"/>
      <c r="V101" s="12"/>
      <c r="W101" s="12"/>
    </row>
    <row r="102" spans="1:23" x14ac:dyDescent="0.2">
      <c r="C102" s="1" t="s">
        <v>62</v>
      </c>
      <c r="H102" s="12">
        <v>5</v>
      </c>
      <c r="I102" s="12">
        <v>6</v>
      </c>
      <c r="J102" s="97">
        <f>Model!J717</f>
        <v>6.7412769833167756</v>
      </c>
      <c r="T102" s="12">
        <v>7</v>
      </c>
      <c r="U102" s="12"/>
      <c r="V102" s="12"/>
      <c r="W102" s="12"/>
    </row>
    <row r="103" spans="1:23" x14ac:dyDescent="0.2">
      <c r="C103" s="1" t="s">
        <v>68</v>
      </c>
      <c r="H103" s="12">
        <v>16</v>
      </c>
      <c r="I103" s="12">
        <v>23</v>
      </c>
      <c r="J103" s="97">
        <f>Model!J718</f>
        <v>25.841561769380974</v>
      </c>
      <c r="T103" s="12">
        <v>20</v>
      </c>
      <c r="U103" s="12"/>
      <c r="V103" s="12"/>
      <c r="W103" s="12"/>
    </row>
    <row r="104" spans="1:23" x14ac:dyDescent="0.2">
      <c r="C104" s="1" t="s">
        <v>64</v>
      </c>
      <c r="H104" s="12">
        <v>41</v>
      </c>
      <c r="I104" s="12">
        <v>57</v>
      </c>
      <c r="J104" s="97">
        <f>Model!J719</f>
        <v>64.042131341509361</v>
      </c>
      <c r="T104" s="12">
        <v>59</v>
      </c>
      <c r="U104" s="12"/>
      <c r="V104" s="12"/>
      <c r="W104" s="12"/>
    </row>
    <row r="105" spans="1:23" s="17" customFormat="1" x14ac:dyDescent="0.2">
      <c r="A105" s="10"/>
      <c r="B105" s="2"/>
      <c r="C105" s="2" t="s">
        <v>69</v>
      </c>
      <c r="D105" s="10"/>
      <c r="E105" s="10"/>
      <c r="F105" s="10"/>
      <c r="G105" s="10"/>
      <c r="H105" s="24">
        <v>265</v>
      </c>
      <c r="I105" s="24">
        <v>887</v>
      </c>
      <c r="J105" s="96">
        <f>Model!J720</f>
        <v>363.19209133691538</v>
      </c>
      <c r="T105" s="24">
        <v>940</v>
      </c>
      <c r="U105" s="24"/>
      <c r="V105" s="24"/>
      <c r="W105" s="24"/>
    </row>
    <row r="106" spans="1:23" s="17" customFormat="1" x14ac:dyDescent="0.2">
      <c r="A106" s="10"/>
      <c r="B106" s="2"/>
      <c r="C106" s="2"/>
      <c r="D106" s="10"/>
      <c r="E106" s="10"/>
      <c r="F106" s="10"/>
      <c r="G106" s="10"/>
    </row>
    <row r="107" spans="1:23" s="17" customFormat="1" x14ac:dyDescent="0.2">
      <c r="A107" s="10"/>
      <c r="B107" s="2"/>
      <c r="C107" s="2" t="s">
        <v>70</v>
      </c>
      <c r="D107" s="10"/>
      <c r="E107" s="10"/>
      <c r="F107" s="10"/>
      <c r="G107" s="10"/>
      <c r="H107" s="24">
        <v>1983</v>
      </c>
      <c r="I107" s="24">
        <v>2209</v>
      </c>
      <c r="J107" s="96">
        <f>Model!J722</f>
        <v>2145.3245832590901</v>
      </c>
      <c r="T107" s="24">
        <v>2352</v>
      </c>
      <c r="U107" s="24"/>
      <c r="V107" s="24"/>
      <c r="W107" s="24"/>
    </row>
    <row r="109" spans="1:23" x14ac:dyDescent="0.2">
      <c r="C109" s="2" t="s">
        <v>19</v>
      </c>
    </row>
    <row r="110" spans="1:23" x14ac:dyDescent="0.2">
      <c r="C110" s="7" t="s">
        <v>71</v>
      </c>
      <c r="D110" s="29"/>
      <c r="E110" s="29"/>
      <c r="F110" s="29"/>
      <c r="G110" s="29"/>
      <c r="H110" s="19">
        <f>H85-SUM(H68:H71)-SUM(H75:H82)</f>
        <v>0</v>
      </c>
      <c r="I110" s="19">
        <f>I85-SUM(I68:I71)-SUM(I75:I82)</f>
        <v>0</v>
      </c>
      <c r="J110" s="19">
        <f>J85-SUM(J68:J71)-SUM(J75:J82)</f>
        <v>0</v>
      </c>
      <c r="T110" s="19">
        <f>T85-SUM(T68:T71)-SUM(T75:T82)</f>
        <v>0</v>
      </c>
      <c r="U110" s="19">
        <f>U85-SUM(U68:U71)-SUM(U75:U82)</f>
        <v>0</v>
      </c>
      <c r="V110" s="19"/>
      <c r="W110" s="19"/>
    </row>
    <row r="111" spans="1:23" x14ac:dyDescent="0.2">
      <c r="C111" s="7" t="s">
        <v>72</v>
      </c>
      <c r="D111" s="29"/>
      <c r="E111" s="29"/>
      <c r="F111" s="29"/>
      <c r="G111" s="29"/>
      <c r="H111" s="19">
        <f>H107-H90-SUM(H93:H96)-SUM(H100:H104)</f>
        <v>0</v>
      </c>
      <c r="I111" s="19">
        <f>I107-I90-SUM(I93:I96)-SUM(I100:I104)</f>
        <v>0</v>
      </c>
      <c r="J111" s="19">
        <f>J107-J90-SUM(J93:J96)-SUM(J100:J104)</f>
        <v>0</v>
      </c>
      <c r="T111" s="19">
        <f>T107-T90-SUM(T93:T96)-SUM(T100:T104)</f>
        <v>0</v>
      </c>
      <c r="U111" s="19">
        <f>U107-U90-SUM(U93:U96)-SUM(U100:U104)</f>
        <v>0</v>
      </c>
      <c r="V111" s="19"/>
      <c r="W111" s="19"/>
    </row>
    <row r="112" spans="1:23" x14ac:dyDescent="0.2">
      <c r="C112" s="7" t="s">
        <v>73</v>
      </c>
      <c r="D112" s="29"/>
      <c r="E112" s="29"/>
      <c r="F112" s="29"/>
      <c r="G112" s="29"/>
      <c r="H112" s="19">
        <f>SUM(H68:H71)+SUM(H75:H82)-SUM(H93:H96)-SUM(H100:H104)-H89</f>
        <v>0</v>
      </c>
      <c r="I112" s="19">
        <f>SUM(I68:I71)+SUM(I75:I82)-SUM(I93:I96)-SUM(I100:I104)-I89</f>
        <v>0</v>
      </c>
      <c r="J112" s="19">
        <f>SUM(J68:J71)+SUM(J75:J82)-SUM(J93:J96)-SUM(J100:J104)-J89</f>
        <v>0</v>
      </c>
      <c r="T112" s="19">
        <f>SUM(T68:T71)+SUM(T75:T82)-SUM(T93:T96)-SUM(T100:T104)-T89</f>
        <v>0</v>
      </c>
      <c r="U112" s="19">
        <f>SUM(U68:U71)+SUM(U75:U82)-SUM(U93:U96)-SUM(U100:U104)-U89</f>
        <v>0</v>
      </c>
      <c r="V112" s="19"/>
      <c r="W112" s="19"/>
    </row>
    <row r="114" spans="1:23" x14ac:dyDescent="0.2">
      <c r="A114" s="8" t="s">
        <v>22</v>
      </c>
      <c r="B114" s="37" t="s">
        <v>74</v>
      </c>
      <c r="C114" s="6"/>
      <c r="D114" s="26"/>
      <c r="E114" s="26"/>
      <c r="F114" s="26"/>
      <c r="G114" s="26"/>
      <c r="H114" s="14"/>
      <c r="I114" s="14"/>
      <c r="J114" s="14"/>
      <c r="K114" s="14"/>
      <c r="L114" s="14"/>
      <c r="M114" s="14"/>
      <c r="N114" s="14"/>
      <c r="O114" s="14"/>
      <c r="P114" s="14"/>
      <c r="Q114" s="14"/>
      <c r="R114" s="14"/>
      <c r="S114" s="14"/>
      <c r="T114" s="14"/>
      <c r="U114" s="14"/>
      <c r="V114" s="14"/>
      <c r="W114" s="14"/>
    </row>
    <row r="116" spans="1:23" x14ac:dyDescent="0.2">
      <c r="C116" s="2" t="s">
        <v>75</v>
      </c>
    </row>
    <row r="117" spans="1:23" x14ac:dyDescent="0.2">
      <c r="C117" s="1" t="s">
        <v>15</v>
      </c>
      <c r="H117" s="12">
        <v>346</v>
      </c>
      <c r="I117" s="12">
        <v>347</v>
      </c>
      <c r="J117" s="12"/>
    </row>
    <row r="118" spans="1:23" x14ac:dyDescent="0.2">
      <c r="C118" s="2" t="s">
        <v>85</v>
      </c>
    </row>
    <row r="119" spans="1:23" x14ac:dyDescent="0.2">
      <c r="C119" s="1" t="s">
        <v>76</v>
      </c>
      <c r="H119" s="12">
        <v>177</v>
      </c>
      <c r="I119" s="12">
        <v>166</v>
      </c>
      <c r="J119" s="12"/>
    </row>
    <row r="120" spans="1:23" x14ac:dyDescent="0.2">
      <c r="C120" s="1" t="s">
        <v>9</v>
      </c>
      <c r="H120" s="12">
        <v>-2</v>
      </c>
      <c r="I120" s="12">
        <v>1</v>
      </c>
      <c r="J120" s="12"/>
    </row>
    <row r="121" spans="1:23" x14ac:dyDescent="0.2">
      <c r="C121" s="1" t="s">
        <v>11</v>
      </c>
      <c r="H121" s="12">
        <v>82</v>
      </c>
      <c r="I121" s="12">
        <v>82</v>
      </c>
      <c r="J121" s="12"/>
    </row>
    <row r="122" spans="1:23" x14ac:dyDescent="0.2">
      <c r="C122" s="1" t="s">
        <v>12</v>
      </c>
      <c r="H122" s="12">
        <v>-35</v>
      </c>
      <c r="I122" s="12">
        <v>-40</v>
      </c>
      <c r="J122" s="12"/>
    </row>
    <row r="123" spans="1:23" x14ac:dyDescent="0.2">
      <c r="C123" s="1" t="s">
        <v>13</v>
      </c>
      <c r="H123" s="12">
        <v>8</v>
      </c>
      <c r="I123" s="12">
        <v>-2</v>
      </c>
      <c r="J123" s="12"/>
    </row>
    <row r="124" spans="1:23" x14ac:dyDescent="0.2">
      <c r="C124" s="1" t="s">
        <v>14</v>
      </c>
      <c r="H124" s="12">
        <v>-38</v>
      </c>
      <c r="I124" s="12">
        <v>-39</v>
      </c>
      <c r="J124" s="12"/>
    </row>
    <row r="125" spans="1:23" x14ac:dyDescent="0.2">
      <c r="C125" s="1" t="s">
        <v>77</v>
      </c>
      <c r="H125" s="12">
        <v>28</v>
      </c>
      <c r="I125" s="12">
        <v>-10</v>
      </c>
      <c r="J125" s="12"/>
    </row>
    <row r="126" spans="1:23" x14ac:dyDescent="0.2">
      <c r="C126" s="1" t="s">
        <v>78</v>
      </c>
      <c r="H126" s="12">
        <v>-2</v>
      </c>
      <c r="I126" s="12">
        <v>0</v>
      </c>
      <c r="J126" s="12"/>
    </row>
    <row r="127" spans="1:23" x14ac:dyDescent="0.2">
      <c r="C127" s="1" t="s">
        <v>79</v>
      </c>
      <c r="H127" s="12">
        <v>-33</v>
      </c>
      <c r="I127" s="12">
        <v>32</v>
      </c>
      <c r="J127" s="12"/>
    </row>
    <row r="128" spans="1:23" x14ac:dyDescent="0.2">
      <c r="C128" s="1" t="s">
        <v>80</v>
      </c>
      <c r="H128" s="12">
        <v>3</v>
      </c>
      <c r="I128" s="12">
        <v>4</v>
      </c>
      <c r="J128" s="12"/>
    </row>
    <row r="129" spans="1:10" x14ac:dyDescent="0.2">
      <c r="C129" s="1" t="s">
        <v>81</v>
      </c>
      <c r="H129" s="12">
        <v>-75</v>
      </c>
      <c r="I129" s="12">
        <v>-78</v>
      </c>
      <c r="J129" s="12"/>
    </row>
    <row r="130" spans="1:10" x14ac:dyDescent="0.2">
      <c r="C130" s="1" t="s">
        <v>82</v>
      </c>
      <c r="H130" s="12">
        <v>16</v>
      </c>
      <c r="I130" s="12">
        <v>19</v>
      </c>
      <c r="J130" s="12"/>
    </row>
    <row r="131" spans="1:10" x14ac:dyDescent="0.2">
      <c r="C131" s="1" t="s">
        <v>83</v>
      </c>
      <c r="H131" s="12">
        <v>-62</v>
      </c>
      <c r="I131" s="12">
        <v>-52</v>
      </c>
      <c r="J131" s="12"/>
    </row>
    <row r="132" spans="1:10" x14ac:dyDescent="0.2">
      <c r="C132" s="4" t="s">
        <v>84</v>
      </c>
      <c r="D132" s="30"/>
      <c r="E132" s="30"/>
      <c r="F132" s="30"/>
      <c r="G132" s="30"/>
      <c r="H132" s="16">
        <v>413</v>
      </c>
      <c r="I132" s="16">
        <v>430</v>
      </c>
      <c r="J132" s="16"/>
    </row>
    <row r="134" spans="1:10" x14ac:dyDescent="0.2">
      <c r="C134" s="2" t="s">
        <v>86</v>
      </c>
    </row>
    <row r="135" spans="1:10" x14ac:dyDescent="0.2">
      <c r="C135" s="1" t="s">
        <v>87</v>
      </c>
      <c r="H135" s="12">
        <v>-96</v>
      </c>
      <c r="I135" s="12">
        <v>-162</v>
      </c>
      <c r="J135" s="12"/>
    </row>
    <row r="136" spans="1:10" x14ac:dyDescent="0.2">
      <c r="C136" s="1" t="s">
        <v>88</v>
      </c>
      <c r="H136" s="12">
        <v>-47</v>
      </c>
      <c r="I136" s="12">
        <v>-86</v>
      </c>
      <c r="J136" s="12"/>
    </row>
    <row r="137" spans="1:10" x14ac:dyDescent="0.2">
      <c r="C137" s="1" t="s">
        <v>89</v>
      </c>
      <c r="H137" s="12">
        <v>-52</v>
      </c>
      <c r="I137" s="12">
        <v>-13</v>
      </c>
      <c r="J137" s="12"/>
    </row>
    <row r="138" spans="1:10" x14ac:dyDescent="0.2">
      <c r="C138" s="1" t="s">
        <v>90</v>
      </c>
      <c r="H138" s="12">
        <v>13</v>
      </c>
      <c r="I138" s="12">
        <v>-2</v>
      </c>
      <c r="J138" s="12"/>
    </row>
    <row r="139" spans="1:10" x14ac:dyDescent="0.2">
      <c r="C139" s="1" t="s">
        <v>91</v>
      </c>
      <c r="H139" s="12">
        <v>-150</v>
      </c>
      <c r="I139" s="12">
        <v>119</v>
      </c>
      <c r="J139" s="12"/>
    </row>
    <row r="140" spans="1:10" x14ac:dyDescent="0.2">
      <c r="C140" s="1" t="s">
        <v>92</v>
      </c>
      <c r="H140" s="12">
        <v>5</v>
      </c>
      <c r="I140" s="12">
        <v>12</v>
      </c>
      <c r="J140" s="12"/>
    </row>
    <row r="141" spans="1:10" s="17" customFormat="1" x14ac:dyDescent="0.2">
      <c r="A141" s="10"/>
      <c r="B141" s="2"/>
      <c r="C141" s="4" t="s">
        <v>93</v>
      </c>
      <c r="D141" s="27"/>
      <c r="E141" s="27"/>
      <c r="F141" s="27"/>
      <c r="G141" s="27"/>
      <c r="H141" s="16">
        <v>-327</v>
      </c>
      <c r="I141" s="16">
        <v>-132</v>
      </c>
      <c r="J141" s="16"/>
    </row>
    <row r="143" spans="1:10" x14ac:dyDescent="0.2">
      <c r="C143" s="2" t="s">
        <v>94</v>
      </c>
    </row>
    <row r="144" spans="1:10" x14ac:dyDescent="0.2">
      <c r="C144" s="1" t="s">
        <v>95</v>
      </c>
      <c r="H144" s="12">
        <v>-88</v>
      </c>
      <c r="I144" s="12">
        <v>-29</v>
      </c>
      <c r="J144" s="12"/>
    </row>
    <row r="145" spans="3:10" x14ac:dyDescent="0.2">
      <c r="C145" s="1" t="s">
        <v>96</v>
      </c>
      <c r="H145" s="12">
        <v>0</v>
      </c>
      <c r="I145" s="12">
        <v>-8</v>
      </c>
      <c r="J145" s="12"/>
    </row>
    <row r="146" spans="3:10" x14ac:dyDescent="0.2">
      <c r="C146" s="4" t="s">
        <v>97</v>
      </c>
      <c r="D146" s="27"/>
      <c r="E146" s="27"/>
      <c r="F146" s="27"/>
      <c r="G146" s="27"/>
      <c r="H146" s="16">
        <v>-88</v>
      </c>
      <c r="I146" s="16">
        <v>-37</v>
      </c>
      <c r="J146" s="16"/>
    </row>
    <row r="148" spans="3:10" x14ac:dyDescent="0.2">
      <c r="C148" s="1" t="s">
        <v>98</v>
      </c>
      <c r="H148" s="12">
        <v>-2</v>
      </c>
      <c r="I148" s="12">
        <v>261</v>
      </c>
      <c r="J148" s="12"/>
    </row>
    <row r="149" spans="3:10" x14ac:dyDescent="0.2">
      <c r="C149" s="1" t="s">
        <v>99</v>
      </c>
      <c r="H149" s="12">
        <v>-5</v>
      </c>
      <c r="I149" s="12">
        <v>-12</v>
      </c>
      <c r="J149" s="12"/>
    </row>
    <row r="150" spans="3:10" x14ac:dyDescent="0.2">
      <c r="C150" s="1" t="s">
        <v>100</v>
      </c>
      <c r="H150" s="12">
        <v>432</v>
      </c>
      <c r="I150" s="12">
        <v>425</v>
      </c>
      <c r="J150" s="12"/>
    </row>
    <row r="151" spans="3:10" ht="13.5" thickBot="1" x14ac:dyDescent="0.25">
      <c r="C151" s="5" t="s">
        <v>101</v>
      </c>
      <c r="D151" s="31"/>
      <c r="E151" s="31"/>
      <c r="F151" s="31"/>
      <c r="G151" s="31"/>
      <c r="H151" s="18">
        <v>425</v>
      </c>
      <c r="I151" s="18">
        <v>674</v>
      </c>
      <c r="J151" s="18"/>
    </row>
    <row r="152" spans="3:10" ht="13.5" thickTop="1" x14ac:dyDescent="0.2"/>
    <row r="153" spans="3:10" x14ac:dyDescent="0.2">
      <c r="C153" s="2" t="s">
        <v>102</v>
      </c>
    </row>
    <row r="154" spans="3:10" x14ac:dyDescent="0.2">
      <c r="C154" s="7" t="s">
        <v>103</v>
      </c>
      <c r="D154" s="29"/>
      <c r="E154" s="29"/>
      <c r="F154" s="29"/>
      <c r="G154" s="29"/>
      <c r="H154" s="19">
        <f>H132-SUM(H117:H131)</f>
        <v>0</v>
      </c>
      <c r="I154" s="19">
        <f>I132-SUM(I117:I131)</f>
        <v>0</v>
      </c>
      <c r="J154" s="19"/>
    </row>
    <row r="155" spans="3:10" x14ac:dyDescent="0.2">
      <c r="C155" s="7" t="s">
        <v>104</v>
      </c>
      <c r="D155" s="29"/>
      <c r="E155" s="29"/>
      <c r="F155" s="29"/>
      <c r="G155" s="29"/>
      <c r="H155" s="19">
        <f>H141-SUM(H135:H140)</f>
        <v>0</v>
      </c>
      <c r="I155" s="19">
        <f>I141-SUM(I135:I140)</f>
        <v>0</v>
      </c>
      <c r="J155" s="19"/>
    </row>
    <row r="156" spans="3:10" x14ac:dyDescent="0.2">
      <c r="C156" s="7" t="s">
        <v>105</v>
      </c>
      <c r="D156" s="29"/>
      <c r="E156" s="29"/>
      <c r="F156" s="29"/>
      <c r="G156" s="29"/>
      <c r="H156" s="19">
        <f>H146-SUM(H144:H145)</f>
        <v>0</v>
      </c>
      <c r="I156" s="19">
        <f>I146-SUM(I144:I145)</f>
        <v>0</v>
      </c>
      <c r="J156" s="19"/>
    </row>
    <row r="157" spans="3:10" x14ac:dyDescent="0.2">
      <c r="C157" s="7" t="s">
        <v>106</v>
      </c>
      <c r="D157" s="29"/>
      <c r="E157" s="29"/>
      <c r="F157" s="29"/>
      <c r="G157" s="29"/>
      <c r="H157" s="19">
        <f>H132+H141+H146+H149+H150-H151</f>
        <v>0</v>
      </c>
      <c r="I157" s="19">
        <f>I132+I141+I146+I149+I150-I151</f>
        <v>0</v>
      </c>
      <c r="J157" s="19"/>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1DCC-C78F-4EE8-A79E-942F7D0963BE}">
  <sheetPr>
    <tabColor theme="2"/>
    <pageSetUpPr fitToPage="1"/>
  </sheetPr>
  <dimension ref="A2:AP188"/>
  <sheetViews>
    <sheetView zoomScale="80" zoomScaleNormal="80" workbookViewId="0">
      <pane xSplit="2" ySplit="2" topLeftCell="U157" activePane="bottomRight" state="frozen"/>
      <selection activeCell="D11" sqref="D11"/>
      <selection pane="topRight" activeCell="D11" sqref="D11"/>
      <selection pane="bottomLeft" activeCell="D11" sqref="D11"/>
      <selection pane="bottomRight" activeCell="AB3" sqref="AB3:AN170"/>
    </sheetView>
  </sheetViews>
  <sheetFormatPr defaultColWidth="8.140625" defaultRowHeight="12.75" x14ac:dyDescent="0.2"/>
  <cols>
    <col min="1" max="1" width="7.140625" style="456" customWidth="1"/>
    <col min="2" max="2" width="34.28515625" style="456" customWidth="1"/>
    <col min="3" max="4" width="8.42578125" style="456" customWidth="1"/>
    <col min="5" max="5" width="8.42578125" style="456" bestFit="1" customWidth="1"/>
    <col min="6" max="40" width="8.140625" style="456" customWidth="1"/>
    <col min="41" max="16384" width="8.140625" style="456"/>
  </cols>
  <sheetData>
    <row r="2" spans="2:40" x14ac:dyDescent="0.2">
      <c r="B2" s="457" t="s">
        <v>349</v>
      </c>
      <c r="C2" s="457">
        <v>1998</v>
      </c>
      <c r="D2" s="457">
        <v>1999</v>
      </c>
      <c r="E2" s="457">
        <v>2000</v>
      </c>
      <c r="F2" s="457">
        <f t="shared" ref="F2:AN2" si="0">E2+1</f>
        <v>2001</v>
      </c>
      <c r="G2" s="457">
        <f t="shared" si="0"/>
        <v>2002</v>
      </c>
      <c r="H2" s="457">
        <f t="shared" si="0"/>
        <v>2003</v>
      </c>
      <c r="I2" s="457">
        <f t="shared" si="0"/>
        <v>2004</v>
      </c>
      <c r="J2" s="457">
        <f t="shared" si="0"/>
        <v>2005</v>
      </c>
      <c r="K2" s="457">
        <f t="shared" si="0"/>
        <v>2006</v>
      </c>
      <c r="L2" s="457">
        <f t="shared" si="0"/>
        <v>2007</v>
      </c>
      <c r="M2" s="457">
        <f t="shared" si="0"/>
        <v>2008</v>
      </c>
      <c r="N2" s="457">
        <f>M2+1</f>
        <v>2009</v>
      </c>
      <c r="O2" s="457">
        <f t="shared" si="0"/>
        <v>2010</v>
      </c>
      <c r="P2" s="457">
        <f t="shared" si="0"/>
        <v>2011</v>
      </c>
      <c r="Q2" s="457">
        <f t="shared" si="0"/>
        <v>2012</v>
      </c>
      <c r="R2" s="457">
        <f t="shared" si="0"/>
        <v>2013</v>
      </c>
      <c r="S2" s="457">
        <f t="shared" si="0"/>
        <v>2014</v>
      </c>
      <c r="T2" s="457">
        <f t="shared" si="0"/>
        <v>2015</v>
      </c>
      <c r="U2" s="457">
        <f t="shared" si="0"/>
        <v>2016</v>
      </c>
      <c r="V2" s="457">
        <f t="shared" si="0"/>
        <v>2017</v>
      </c>
      <c r="W2" s="457">
        <f t="shared" si="0"/>
        <v>2018</v>
      </c>
      <c r="X2" s="457">
        <f t="shared" si="0"/>
        <v>2019</v>
      </c>
      <c r="Y2" s="457">
        <f t="shared" si="0"/>
        <v>2020</v>
      </c>
      <c r="Z2" s="457">
        <f t="shared" si="0"/>
        <v>2021</v>
      </c>
      <c r="AA2" s="457">
        <f t="shared" si="0"/>
        <v>2022</v>
      </c>
      <c r="AB2" s="457">
        <f t="shared" si="0"/>
        <v>2023</v>
      </c>
      <c r="AC2" s="457">
        <f t="shared" si="0"/>
        <v>2024</v>
      </c>
      <c r="AD2" s="457">
        <f t="shared" si="0"/>
        <v>2025</v>
      </c>
      <c r="AE2" s="457">
        <f t="shared" si="0"/>
        <v>2026</v>
      </c>
      <c r="AF2" s="457">
        <f t="shared" si="0"/>
        <v>2027</v>
      </c>
      <c r="AG2" s="457">
        <f t="shared" si="0"/>
        <v>2028</v>
      </c>
      <c r="AH2" s="457">
        <f t="shared" si="0"/>
        <v>2029</v>
      </c>
      <c r="AI2" s="457">
        <f t="shared" si="0"/>
        <v>2030</v>
      </c>
      <c r="AJ2" s="457">
        <f t="shared" si="0"/>
        <v>2031</v>
      </c>
      <c r="AK2" s="457">
        <f t="shared" si="0"/>
        <v>2032</v>
      </c>
      <c r="AL2" s="457">
        <f t="shared" si="0"/>
        <v>2033</v>
      </c>
      <c r="AM2" s="457">
        <f t="shared" si="0"/>
        <v>2034</v>
      </c>
      <c r="AN2" s="457">
        <f t="shared" si="0"/>
        <v>2035</v>
      </c>
    </row>
    <row r="3" spans="2:40" x14ac:dyDescent="0.2">
      <c r="B3" s="458" t="s">
        <v>839</v>
      </c>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f>Model!H522</f>
        <v>218.55407</v>
      </c>
      <c r="AC3" s="485">
        <f>Model!I522</f>
        <v>218.55407</v>
      </c>
      <c r="AD3" s="485">
        <f>Model!J522</f>
        <v>230.86352299999999</v>
      </c>
      <c r="AE3" s="485">
        <f>Model!K522</f>
        <v>230.86352299999999</v>
      </c>
      <c r="AF3" s="485">
        <f>Model!L522</f>
        <v>230.86352299999999</v>
      </c>
      <c r="AG3" s="485">
        <f>Model!M522</f>
        <v>230.86352299999999</v>
      </c>
      <c r="AH3" s="485">
        <f>Model!N522</f>
        <v>230.86352299999999</v>
      </c>
      <c r="AI3" s="485">
        <f>Model!O522</f>
        <v>230.86352299999999</v>
      </c>
      <c r="AJ3" s="485">
        <f>Model!P522</f>
        <v>230.86352299999999</v>
      </c>
      <c r="AK3" s="485">
        <f>Model!Q522</f>
        <v>230.86352299999999</v>
      </c>
      <c r="AL3" s="485">
        <f>Model!R522</f>
        <v>230.86352299999999</v>
      </c>
      <c r="AM3" s="485">
        <f>Model!S522</f>
        <v>230.86352299999999</v>
      </c>
      <c r="AN3" s="485">
        <f>Model!T522</f>
        <v>230.86352299999999</v>
      </c>
    </row>
    <row r="4" spans="2:40" x14ac:dyDescent="0.2">
      <c r="B4" s="458" t="s">
        <v>840</v>
      </c>
      <c r="C4" s="485"/>
      <c r="D4" s="485"/>
      <c r="E4" s="485"/>
      <c r="F4" s="485"/>
      <c r="G4" s="485"/>
      <c r="H4" s="485"/>
      <c r="I4" s="485"/>
      <c r="J4" s="485"/>
      <c r="K4" s="485"/>
      <c r="L4" s="485"/>
      <c r="M4" s="485"/>
      <c r="N4" s="485"/>
      <c r="O4" s="485"/>
      <c r="P4" s="485"/>
      <c r="Q4" s="485"/>
      <c r="R4" s="485"/>
      <c r="S4" s="485"/>
      <c r="T4" s="485"/>
      <c r="U4" s="485"/>
      <c r="V4" s="485"/>
      <c r="W4" s="485"/>
      <c r="X4" s="485"/>
      <c r="Y4" s="485"/>
      <c r="Z4" s="485"/>
      <c r="AA4" s="485"/>
      <c r="AB4" s="485">
        <f>AB3</f>
        <v>218.55407</v>
      </c>
      <c r="AC4" s="485">
        <f t="shared" ref="AC4:AN4" si="1">AC3</f>
        <v>218.55407</v>
      </c>
      <c r="AD4" s="485">
        <f t="shared" si="1"/>
        <v>230.86352299999999</v>
      </c>
      <c r="AE4" s="485">
        <f t="shared" si="1"/>
        <v>230.86352299999999</v>
      </c>
      <c r="AF4" s="485">
        <f t="shared" si="1"/>
        <v>230.86352299999999</v>
      </c>
      <c r="AG4" s="485">
        <f t="shared" si="1"/>
        <v>230.86352299999999</v>
      </c>
      <c r="AH4" s="485">
        <f t="shared" si="1"/>
        <v>230.86352299999999</v>
      </c>
      <c r="AI4" s="485">
        <f t="shared" si="1"/>
        <v>230.86352299999999</v>
      </c>
      <c r="AJ4" s="485">
        <f t="shared" si="1"/>
        <v>230.86352299999999</v>
      </c>
      <c r="AK4" s="485">
        <f t="shared" si="1"/>
        <v>230.86352299999999</v>
      </c>
      <c r="AL4" s="485">
        <f t="shared" si="1"/>
        <v>230.86352299999999</v>
      </c>
      <c r="AM4" s="485">
        <f t="shared" si="1"/>
        <v>230.86352299999999</v>
      </c>
      <c r="AN4" s="485">
        <f t="shared" si="1"/>
        <v>230.86352299999999</v>
      </c>
    </row>
    <row r="5" spans="2:40" x14ac:dyDescent="0.2">
      <c r="B5" s="458" t="s">
        <v>841</v>
      </c>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s="485"/>
      <c r="AN5" s="485"/>
    </row>
    <row r="6" spans="2:40" x14ac:dyDescent="0.2">
      <c r="B6" s="458" t="s">
        <v>842</v>
      </c>
      <c r="C6" s="485"/>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485"/>
    </row>
    <row r="7" spans="2:40" x14ac:dyDescent="0.2">
      <c r="B7" s="458" t="s">
        <v>843</v>
      </c>
      <c r="C7" s="485"/>
      <c r="D7" s="485"/>
      <c r="E7" s="485"/>
      <c r="F7" s="485"/>
      <c r="G7" s="485"/>
      <c r="H7" s="485"/>
      <c r="I7" s="485"/>
      <c r="J7" s="485"/>
      <c r="K7" s="485"/>
      <c r="L7" s="485"/>
      <c r="M7" s="485"/>
      <c r="N7" s="485"/>
      <c r="O7" s="485"/>
      <c r="P7" s="485"/>
      <c r="Q7" s="485"/>
      <c r="R7" s="485"/>
      <c r="S7" s="485"/>
      <c r="T7" s="485"/>
      <c r="U7" s="485"/>
      <c r="V7" s="485"/>
      <c r="W7" s="485"/>
      <c r="X7" s="485"/>
      <c r="Y7" s="485"/>
      <c r="Z7" s="485"/>
      <c r="AA7" s="485"/>
      <c r="AB7" s="485">
        <f>Model!H796</f>
        <v>473</v>
      </c>
      <c r="AC7" s="485">
        <f>Model!I796</f>
        <v>220</v>
      </c>
      <c r="AD7" s="485">
        <f>Model!J796</f>
        <v>-325.98936795356803</v>
      </c>
      <c r="AE7" s="485">
        <f>Model!K796</f>
        <v>-536.21310261125905</v>
      </c>
      <c r="AF7" s="485">
        <f>Model!L796</f>
        <v>-769.95894653543701</v>
      </c>
      <c r="AG7" s="485">
        <f>Model!M796</f>
        <v>-1033.7662510340811</v>
      </c>
      <c r="AH7" s="485">
        <f>Model!N796</f>
        <v>-1330.1710668271658</v>
      </c>
      <c r="AI7" s="485">
        <f>Model!O796</f>
        <v>-1671.5165820752036</v>
      </c>
      <c r="AJ7" s="485">
        <f>Model!P796</f>
        <v>-2062.7046157081936</v>
      </c>
      <c r="AK7" s="485">
        <f>Model!Q796</f>
        <v>-2512.8341824222398</v>
      </c>
      <c r="AL7" s="485">
        <f>Model!R796</f>
        <v>-3028.0596888627324</v>
      </c>
      <c r="AM7" s="485">
        <f>Model!S796</f>
        <v>-3601.078465567381</v>
      </c>
      <c r="AN7" s="485">
        <f>Model!T796</f>
        <v>-4234.5041251690782</v>
      </c>
    </row>
    <row r="8" spans="2:40" x14ac:dyDescent="0.2">
      <c r="B8" s="458" t="s">
        <v>844</v>
      </c>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row>
    <row r="9" spans="2:40" x14ac:dyDescent="0.2">
      <c r="B9" s="458" t="s">
        <v>845</v>
      </c>
      <c r="C9" s="485"/>
      <c r="D9" s="486"/>
      <c r="E9" s="486"/>
      <c r="F9" s="486"/>
      <c r="G9" s="486"/>
      <c r="H9" s="486"/>
      <c r="I9" s="486"/>
      <c r="J9" s="486"/>
      <c r="K9" s="486"/>
      <c r="L9" s="486"/>
      <c r="M9" s="486"/>
      <c r="N9" s="486"/>
      <c r="O9" s="486"/>
      <c r="P9" s="486"/>
      <c r="Q9" s="486"/>
      <c r="R9" s="486"/>
      <c r="S9" s="486"/>
      <c r="T9" s="486"/>
      <c r="U9" s="486"/>
      <c r="V9" s="486"/>
      <c r="W9" s="486"/>
      <c r="X9" s="486"/>
      <c r="Y9" s="486"/>
      <c r="Z9" s="486"/>
      <c r="AA9" s="486"/>
      <c r="AB9" s="486"/>
      <c r="AC9" s="486"/>
      <c r="AD9" s="486"/>
      <c r="AE9" s="486"/>
      <c r="AF9" s="486"/>
      <c r="AG9" s="486"/>
      <c r="AH9" s="486"/>
      <c r="AI9" s="486"/>
      <c r="AJ9" s="486"/>
      <c r="AK9" s="486"/>
      <c r="AL9" s="486"/>
      <c r="AM9" s="486"/>
      <c r="AN9" s="486"/>
    </row>
    <row r="10" spans="2:40" x14ac:dyDescent="0.2">
      <c r="B10" s="458" t="s">
        <v>846</v>
      </c>
      <c r="C10" s="485"/>
      <c r="D10" s="486"/>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6"/>
      <c r="AM10" s="486"/>
      <c r="AN10" s="486"/>
    </row>
    <row r="11" spans="2:40" x14ac:dyDescent="0.2">
      <c r="B11" s="458" t="s">
        <v>847</v>
      </c>
      <c r="C11" s="485"/>
      <c r="D11" s="486"/>
      <c r="E11" s="486"/>
      <c r="F11" s="486"/>
      <c r="G11" s="486"/>
      <c r="H11" s="486"/>
      <c r="I11" s="486"/>
      <c r="J11" s="486"/>
      <c r="K11" s="486"/>
      <c r="L11" s="486"/>
      <c r="M11" s="486"/>
      <c r="N11" s="486"/>
      <c r="O11" s="486"/>
      <c r="P11" s="486"/>
      <c r="Q11" s="486"/>
      <c r="R11" s="486"/>
      <c r="S11" s="486"/>
      <c r="T11" s="486"/>
      <c r="U11" s="486"/>
      <c r="V11" s="486"/>
      <c r="W11" s="486"/>
      <c r="X11" s="486"/>
      <c r="Y11" s="486"/>
      <c r="Z11" s="486"/>
      <c r="AA11" s="486"/>
      <c r="AB11" s="486"/>
      <c r="AC11" s="486"/>
      <c r="AD11" s="486"/>
      <c r="AE11" s="486"/>
      <c r="AF11" s="486"/>
      <c r="AG11" s="486"/>
      <c r="AH11" s="486"/>
      <c r="AI11" s="486"/>
      <c r="AJ11" s="486"/>
      <c r="AK11" s="486"/>
      <c r="AL11" s="486"/>
      <c r="AM11" s="486"/>
      <c r="AN11" s="486"/>
    </row>
    <row r="12" spans="2:40" x14ac:dyDescent="0.2">
      <c r="B12" s="458" t="s">
        <v>848</v>
      </c>
      <c r="C12" s="485"/>
      <c r="D12" s="485"/>
      <c r="E12" s="486"/>
      <c r="F12" s="486"/>
      <c r="G12" s="486"/>
      <c r="H12" s="486"/>
      <c r="I12" s="486"/>
      <c r="J12" s="486"/>
      <c r="K12" s="486"/>
      <c r="L12" s="486"/>
      <c r="M12" s="486"/>
      <c r="N12" s="486"/>
      <c r="O12" s="486"/>
      <c r="P12" s="486"/>
      <c r="Q12" s="486"/>
      <c r="R12" s="486"/>
      <c r="S12" s="486"/>
      <c r="T12" s="486"/>
      <c r="U12" s="486"/>
      <c r="V12" s="486"/>
      <c r="W12" s="486"/>
      <c r="X12" s="486"/>
      <c r="Y12" s="486"/>
      <c r="Z12" s="486"/>
      <c r="AA12" s="486"/>
      <c r="AB12" s="486"/>
      <c r="AC12" s="486"/>
      <c r="AD12" s="486"/>
      <c r="AE12" s="486"/>
      <c r="AF12" s="486"/>
      <c r="AG12" s="486"/>
      <c r="AH12" s="486"/>
      <c r="AI12" s="486"/>
      <c r="AJ12" s="486"/>
      <c r="AK12" s="486"/>
      <c r="AL12" s="486"/>
      <c r="AM12" s="486"/>
      <c r="AN12" s="486"/>
    </row>
    <row r="13" spans="2:40" x14ac:dyDescent="0.2">
      <c r="B13" s="458" t="s">
        <v>414</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f>Model!H667</f>
        <v>0</v>
      </c>
      <c r="AC13" s="485">
        <f>Model!I667</f>
        <v>0</v>
      </c>
      <c r="AD13" s="485">
        <f>Model!J667</f>
        <v>0</v>
      </c>
      <c r="AE13" s="485">
        <f>Model!K667</f>
        <v>0</v>
      </c>
      <c r="AF13" s="485">
        <f>Model!L667</f>
        <v>0</v>
      </c>
      <c r="AG13" s="485">
        <f>Model!M667</f>
        <v>0</v>
      </c>
      <c r="AH13" s="485">
        <f>Model!N667</f>
        <v>0</v>
      </c>
      <c r="AI13" s="485">
        <f>Model!O667</f>
        <v>0</v>
      </c>
      <c r="AJ13" s="485">
        <f>Model!P667</f>
        <v>0</v>
      </c>
      <c r="AK13" s="485">
        <f>Model!Q667</f>
        <v>0</v>
      </c>
      <c r="AL13" s="485">
        <f>Model!R667</f>
        <v>0</v>
      </c>
      <c r="AM13" s="485">
        <f>Model!S667</f>
        <v>0</v>
      </c>
      <c r="AN13" s="485">
        <f>Model!T667</f>
        <v>0</v>
      </c>
    </row>
    <row r="14" spans="2:40" x14ac:dyDescent="0.2">
      <c r="B14" s="458" t="s">
        <v>849</v>
      </c>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91">
        <f>Model!H666</f>
        <v>1.2857230249704341</v>
      </c>
      <c r="AC14" s="491">
        <f>Model!I666</f>
        <v>1.2948740785289425</v>
      </c>
      <c r="AD14" s="491">
        <f>Model!J666</f>
        <v>1.2892127923392669</v>
      </c>
      <c r="AE14" s="491">
        <f>Model!K666</f>
        <v>1.4849552468088438</v>
      </c>
      <c r="AF14" s="491">
        <f>Model!L666</f>
        <v>1.5585041581782222</v>
      </c>
      <c r="AG14" s="491">
        <f>Model!M666</f>
        <v>1.6615806958028683</v>
      </c>
      <c r="AH14" s="491">
        <f>Model!N666</f>
        <v>1.7714822074829295</v>
      </c>
      <c r="AI14" s="491">
        <f>Model!O666</f>
        <v>1.8555054740009584</v>
      </c>
      <c r="AJ14" s="491">
        <f>Model!P666</f>
        <v>2.0283963075094733</v>
      </c>
      <c r="AK14" s="491">
        <f>Model!Q666</f>
        <v>2.2255530215130013</v>
      </c>
      <c r="AL14" s="491">
        <f>Model!R666</f>
        <v>2.4501855968666355</v>
      </c>
      <c r="AM14" s="491">
        <f>Model!S666</f>
        <v>2.6444441109213641</v>
      </c>
      <c r="AN14" s="491">
        <f>Model!T666</f>
        <v>2.9111092278514246</v>
      </c>
    </row>
    <row r="15" spans="2:40" x14ac:dyDescent="0.2">
      <c r="B15" s="458" t="s">
        <v>850</v>
      </c>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91">
        <f>AB14</f>
        <v>1.2857230249704341</v>
      </c>
      <c r="AC15" s="491">
        <f t="shared" ref="AC15:AN15" si="2">AC14</f>
        <v>1.2948740785289425</v>
      </c>
      <c r="AD15" s="491">
        <f t="shared" si="2"/>
        <v>1.2892127923392669</v>
      </c>
      <c r="AE15" s="491">
        <f t="shared" si="2"/>
        <v>1.4849552468088438</v>
      </c>
      <c r="AF15" s="491">
        <f t="shared" si="2"/>
        <v>1.5585041581782222</v>
      </c>
      <c r="AG15" s="491">
        <f t="shared" si="2"/>
        <v>1.6615806958028683</v>
      </c>
      <c r="AH15" s="491">
        <f t="shared" si="2"/>
        <v>1.7714822074829295</v>
      </c>
      <c r="AI15" s="491">
        <f t="shared" si="2"/>
        <v>1.8555054740009584</v>
      </c>
      <c r="AJ15" s="491">
        <f t="shared" si="2"/>
        <v>2.0283963075094733</v>
      </c>
      <c r="AK15" s="491">
        <f t="shared" si="2"/>
        <v>2.2255530215130013</v>
      </c>
      <c r="AL15" s="491">
        <f t="shared" si="2"/>
        <v>2.4501855968666355</v>
      </c>
      <c r="AM15" s="491">
        <f t="shared" si="2"/>
        <v>2.6444441109213641</v>
      </c>
      <c r="AN15" s="491">
        <f t="shared" si="2"/>
        <v>2.9111092278514246</v>
      </c>
    </row>
    <row r="16" spans="2:40" x14ac:dyDescent="0.2">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461"/>
      <c r="AK16" s="461"/>
      <c r="AL16" s="461"/>
      <c r="AM16" s="461"/>
      <c r="AN16" s="461"/>
    </row>
    <row r="17" spans="1:42" x14ac:dyDescent="0.2">
      <c r="B17" s="457" t="s">
        <v>851</v>
      </c>
      <c r="C17" s="457">
        <f>C$2</f>
        <v>1998</v>
      </c>
      <c r="D17" s="457">
        <f t="shared" ref="D17:AN17" si="3">D$2</f>
        <v>1999</v>
      </c>
      <c r="E17" s="457">
        <f t="shared" si="3"/>
        <v>2000</v>
      </c>
      <c r="F17" s="457">
        <f t="shared" si="3"/>
        <v>2001</v>
      </c>
      <c r="G17" s="457">
        <f t="shared" si="3"/>
        <v>2002</v>
      </c>
      <c r="H17" s="457">
        <f t="shared" si="3"/>
        <v>2003</v>
      </c>
      <c r="I17" s="457">
        <f t="shared" si="3"/>
        <v>2004</v>
      </c>
      <c r="J17" s="457">
        <f t="shared" si="3"/>
        <v>2005</v>
      </c>
      <c r="K17" s="457">
        <f t="shared" si="3"/>
        <v>2006</v>
      </c>
      <c r="L17" s="457">
        <f t="shared" si="3"/>
        <v>2007</v>
      </c>
      <c r="M17" s="457">
        <f t="shared" si="3"/>
        <v>2008</v>
      </c>
      <c r="N17" s="457">
        <f t="shared" si="3"/>
        <v>2009</v>
      </c>
      <c r="O17" s="457">
        <f t="shared" si="3"/>
        <v>2010</v>
      </c>
      <c r="P17" s="457">
        <f t="shared" si="3"/>
        <v>2011</v>
      </c>
      <c r="Q17" s="457">
        <f t="shared" si="3"/>
        <v>2012</v>
      </c>
      <c r="R17" s="457">
        <f t="shared" si="3"/>
        <v>2013</v>
      </c>
      <c r="S17" s="457">
        <f t="shared" si="3"/>
        <v>2014</v>
      </c>
      <c r="T17" s="457">
        <f t="shared" si="3"/>
        <v>2015</v>
      </c>
      <c r="U17" s="457">
        <f t="shared" si="3"/>
        <v>2016</v>
      </c>
      <c r="V17" s="457">
        <f t="shared" si="3"/>
        <v>2017</v>
      </c>
      <c r="W17" s="457">
        <f t="shared" si="3"/>
        <v>2018</v>
      </c>
      <c r="X17" s="457">
        <f t="shared" si="3"/>
        <v>2019</v>
      </c>
      <c r="Y17" s="457">
        <f t="shared" si="3"/>
        <v>2020</v>
      </c>
      <c r="Z17" s="457">
        <f t="shared" si="3"/>
        <v>2021</v>
      </c>
      <c r="AA17" s="457">
        <f t="shared" si="3"/>
        <v>2022</v>
      </c>
      <c r="AB17" s="457">
        <f t="shared" si="3"/>
        <v>2023</v>
      </c>
      <c r="AC17" s="457">
        <f t="shared" si="3"/>
        <v>2024</v>
      </c>
      <c r="AD17" s="457">
        <f t="shared" si="3"/>
        <v>2025</v>
      </c>
      <c r="AE17" s="457">
        <f t="shared" si="3"/>
        <v>2026</v>
      </c>
      <c r="AF17" s="457">
        <f t="shared" si="3"/>
        <v>2027</v>
      </c>
      <c r="AG17" s="457">
        <f t="shared" si="3"/>
        <v>2028</v>
      </c>
      <c r="AH17" s="457">
        <f t="shared" si="3"/>
        <v>2029</v>
      </c>
      <c r="AI17" s="457">
        <f t="shared" si="3"/>
        <v>2030</v>
      </c>
      <c r="AJ17" s="457">
        <f t="shared" si="3"/>
        <v>2031</v>
      </c>
      <c r="AK17" s="457">
        <f t="shared" si="3"/>
        <v>2032</v>
      </c>
      <c r="AL17" s="457">
        <f t="shared" si="3"/>
        <v>2033</v>
      </c>
      <c r="AM17" s="457">
        <f t="shared" si="3"/>
        <v>2034</v>
      </c>
      <c r="AN17" s="457">
        <f t="shared" si="3"/>
        <v>2035</v>
      </c>
    </row>
    <row r="18" spans="1:42" x14ac:dyDescent="0.2">
      <c r="B18" s="458" t="s">
        <v>852</v>
      </c>
      <c r="C18" s="485"/>
      <c r="D18" s="485"/>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f>Model!H604</f>
        <v>915</v>
      </c>
      <c r="AC18" s="485">
        <f>Model!I604</f>
        <v>919</v>
      </c>
      <c r="AD18" s="485">
        <f>Model!J604</f>
        <v>1032.5389246113527</v>
      </c>
      <c r="AE18" s="485">
        <f>Model!K604</f>
        <v>1121.7432425981642</v>
      </c>
      <c r="AF18" s="485">
        <f>Model!L604</f>
        <v>1208.4522923461782</v>
      </c>
      <c r="AG18" s="485">
        <f>Model!M604</f>
        <v>1290.8224997805519</v>
      </c>
      <c r="AH18" s="485">
        <f>Model!N604</f>
        <v>1355.4156604123045</v>
      </c>
      <c r="AI18" s="485">
        <f>Model!O604</f>
        <v>1423.008007201264</v>
      </c>
      <c r="AJ18" s="485">
        <f>Model!P604</f>
        <v>1493.7184812574826</v>
      </c>
      <c r="AK18" s="485">
        <f>Model!Q604</f>
        <v>1567.6705573520155</v>
      </c>
      <c r="AL18" s="485">
        <f>Model!R604</f>
        <v>1644.2887686490164</v>
      </c>
      <c r="AM18" s="485">
        <f>Model!S604</f>
        <v>1723.6278687722504</v>
      </c>
      <c r="AN18" s="485">
        <f>Model!T604</f>
        <v>1806.485318577676</v>
      </c>
    </row>
    <row r="19" spans="1:42" x14ac:dyDescent="0.2">
      <c r="B19" s="458" t="s">
        <v>853</v>
      </c>
      <c r="C19" s="485"/>
      <c r="D19" s="485"/>
      <c r="E19" s="485"/>
      <c r="F19" s="485"/>
      <c r="G19" s="485"/>
      <c r="H19" s="485"/>
      <c r="I19" s="485"/>
      <c r="J19" s="485"/>
      <c r="K19" s="485"/>
      <c r="L19" s="485"/>
      <c r="M19" s="485"/>
      <c r="N19" s="485"/>
      <c r="O19" s="485"/>
      <c r="P19" s="485"/>
      <c r="Q19" s="485"/>
      <c r="R19" s="485"/>
      <c r="S19" s="485"/>
      <c r="T19" s="485"/>
      <c r="U19" s="485"/>
      <c r="V19" s="485"/>
      <c r="W19" s="485"/>
      <c r="X19" s="485"/>
      <c r="Y19" s="485"/>
      <c r="Z19" s="485"/>
      <c r="AA19" s="485"/>
      <c r="AB19" s="485">
        <f>Model!H639</f>
        <v>538</v>
      </c>
      <c r="AC19" s="485">
        <f>Model!I639</f>
        <v>515</v>
      </c>
      <c r="AD19" s="485">
        <f>Model!J639</f>
        <v>547.65010666301589</v>
      </c>
      <c r="AE19" s="485">
        <f>Model!K639</f>
        <v>578.13719057715707</v>
      </c>
      <c r="AF19" s="485">
        <f>Model!L639</f>
        <v>604.69953336051503</v>
      </c>
      <c r="AG19" s="485">
        <f>Model!M639</f>
        <v>633.00867897290664</v>
      </c>
      <c r="AH19" s="485">
        <f>Model!N639</f>
        <v>656.55213680794304</v>
      </c>
      <c r="AI19" s="485">
        <f>Model!O639</f>
        <v>683.6012785845636</v>
      </c>
      <c r="AJ19" s="485">
        <f>Model!P639</f>
        <v>717.57000555555305</v>
      </c>
      <c r="AK19" s="485">
        <f>Model!Q639</f>
        <v>753.09597133815851</v>
      </c>
      <c r="AL19" s="485">
        <f>Model!R639</f>
        <v>789.90272642346849</v>
      </c>
      <c r="AM19" s="485">
        <f>Model!S639</f>
        <v>828.01657399953524</v>
      </c>
      <c r="AN19" s="485">
        <f>Model!T639</f>
        <v>867.82060766667269</v>
      </c>
    </row>
    <row r="20" spans="1:42" x14ac:dyDescent="0.2">
      <c r="B20" s="456" t="s">
        <v>854</v>
      </c>
      <c r="C20" s="485"/>
      <c r="D20" s="485"/>
      <c r="E20" s="485"/>
      <c r="F20" s="485"/>
      <c r="G20" s="485"/>
      <c r="H20" s="485"/>
      <c r="I20" s="485"/>
      <c r="J20" s="485"/>
      <c r="K20" s="485"/>
      <c r="L20" s="485"/>
      <c r="M20" s="485"/>
      <c r="N20" s="485"/>
      <c r="O20" s="485"/>
      <c r="P20" s="485"/>
      <c r="Q20" s="485"/>
      <c r="R20" s="485"/>
      <c r="S20" s="485"/>
      <c r="T20" s="485"/>
      <c r="U20" s="485"/>
      <c r="V20" s="485"/>
      <c r="W20" s="485"/>
      <c r="X20" s="485"/>
      <c r="Y20" s="485"/>
      <c r="Z20" s="485"/>
      <c r="AA20" s="485"/>
      <c r="AB20" s="485">
        <f>-Model!H643</f>
        <v>127</v>
      </c>
      <c r="AC20" s="485">
        <f>-Model!I643</f>
        <v>118</v>
      </c>
      <c r="AD20" s="485">
        <f>-Model!J643</f>
        <v>141.42951409365418</v>
      </c>
      <c r="AE20" s="485">
        <f>-Model!K643</f>
        <v>164.31645266522858</v>
      </c>
      <c r="AF20" s="485">
        <f>-Model!L643</f>
        <v>187.90668302760071</v>
      </c>
      <c r="AG20" s="485">
        <f>-Model!M643</f>
        <v>207.19607399431126</v>
      </c>
      <c r="AH20" s="485">
        <f>-Model!N643</f>
        <v>223.0144880918896</v>
      </c>
      <c r="AI20" s="485">
        <f>-Model!O643</f>
        <v>238.43489862434353</v>
      </c>
      <c r="AJ20" s="485">
        <f>-Model!P643</f>
        <v>253.30188085121625</v>
      </c>
      <c r="AK20" s="485">
        <f>-Model!Q643</f>
        <v>267.44327415551356</v>
      </c>
      <c r="AL20" s="485">
        <f>-Model!R643</f>
        <v>280.54896598253293</v>
      </c>
      <c r="AM20" s="485">
        <f>-Model!S643</f>
        <v>309.5984741503575</v>
      </c>
      <c r="AN20" s="485">
        <f>-Model!T643</f>
        <v>325.16735734398168</v>
      </c>
    </row>
    <row r="21" spans="1:42" x14ac:dyDescent="0.2">
      <c r="B21" s="456" t="s">
        <v>855</v>
      </c>
      <c r="C21" s="485"/>
      <c r="D21" s="485"/>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f>-Model!H644</f>
        <v>49</v>
      </c>
      <c r="AC21" s="485">
        <f>-Model!I644</f>
        <v>45</v>
      </c>
      <c r="AD21" s="485">
        <f>-Model!J644</f>
        <v>49.561868381344937</v>
      </c>
      <c r="AE21" s="485">
        <f>-Model!K644</f>
        <v>53.84367564471188</v>
      </c>
      <c r="AF21" s="485">
        <f>-Model!L644</f>
        <v>58.005710032616548</v>
      </c>
      <c r="AG21" s="485">
        <f>-Model!M644</f>
        <v>61.959479989466494</v>
      </c>
      <c r="AH21" s="485">
        <f>-Model!N644</f>
        <v>65.059951699790616</v>
      </c>
      <c r="AI21" s="485">
        <f>-Model!O644</f>
        <v>68.304384345660679</v>
      </c>
      <c r="AJ21" s="485">
        <f>-Model!P644</f>
        <v>71.698487100359159</v>
      </c>
      <c r="AK21" s="485">
        <f>-Model!Q644</f>
        <v>75.248186752896743</v>
      </c>
      <c r="AL21" s="485">
        <f>-Model!R644</f>
        <v>78.925860895152795</v>
      </c>
      <c r="AM21" s="485">
        <f>-Model!S644</f>
        <v>82.734137701068022</v>
      </c>
      <c r="AN21" s="485">
        <f>-Model!T644</f>
        <v>86.711295291728447</v>
      </c>
    </row>
    <row r="22" spans="1:42" x14ac:dyDescent="0.2">
      <c r="B22" s="458" t="s">
        <v>856</v>
      </c>
      <c r="C22" s="485"/>
      <c r="D22" s="485"/>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f>Model!H396</f>
        <v>155</v>
      </c>
      <c r="AC22" s="485">
        <f>Model!I396</f>
        <v>221</v>
      </c>
      <c r="AD22" s="485">
        <f>Model!J396</f>
        <v>238.39886056849463</v>
      </c>
      <c r="AE22" s="485">
        <f>Model!K396</f>
        <v>255.16108948720267</v>
      </c>
      <c r="AF22" s="485">
        <f>Model!L396</f>
        <v>270.75450094338424</v>
      </c>
      <c r="AG22" s="485">
        <f>Model!M396</f>
        <v>280.38625438271231</v>
      </c>
      <c r="AH22" s="485">
        <f>Model!N396</f>
        <v>285.15200349433542</v>
      </c>
      <c r="AI22" s="485">
        <f>Model!O396</f>
        <v>289.64517412400414</v>
      </c>
      <c r="AJ22" s="485">
        <f>Model!P396</f>
        <v>293.8276607435605</v>
      </c>
      <c r="AK22" s="485">
        <f>Model!Q396</f>
        <v>297.65896658582574</v>
      </c>
      <c r="AL22" s="485">
        <f>Model!R396</f>
        <v>300.96728600841493</v>
      </c>
      <c r="AM22" s="485">
        <f>Model!S396</f>
        <v>315.48935420818657</v>
      </c>
      <c r="AN22" s="485">
        <f>Model!T396</f>
        <v>330.6554140080151</v>
      </c>
    </row>
    <row r="23" spans="1:42" x14ac:dyDescent="0.2">
      <c r="B23" s="458" t="s">
        <v>857</v>
      </c>
      <c r="C23" s="485"/>
      <c r="D23" s="485"/>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f>AB19-AB22</f>
        <v>383</v>
      </c>
      <c r="AC23" s="485">
        <f t="shared" ref="AC23:AN23" si="4">AC19-AC22</f>
        <v>294</v>
      </c>
      <c r="AD23" s="485">
        <f t="shared" si="4"/>
        <v>309.25124609452126</v>
      </c>
      <c r="AE23" s="485">
        <f t="shared" si="4"/>
        <v>322.9761010899544</v>
      </c>
      <c r="AF23" s="485">
        <f t="shared" si="4"/>
        <v>333.94503241713079</v>
      </c>
      <c r="AG23" s="485">
        <f t="shared" si="4"/>
        <v>352.62242459019433</v>
      </c>
      <c r="AH23" s="485">
        <f t="shared" si="4"/>
        <v>371.40013331360763</v>
      </c>
      <c r="AI23" s="485">
        <f t="shared" si="4"/>
        <v>393.95610446055946</v>
      </c>
      <c r="AJ23" s="485">
        <f t="shared" si="4"/>
        <v>423.74234481199255</v>
      </c>
      <c r="AK23" s="485">
        <f t="shared" si="4"/>
        <v>455.43700475233277</v>
      </c>
      <c r="AL23" s="485">
        <f t="shared" si="4"/>
        <v>488.93544041505356</v>
      </c>
      <c r="AM23" s="485">
        <f t="shared" si="4"/>
        <v>512.52721979134867</v>
      </c>
      <c r="AN23" s="485">
        <f t="shared" si="4"/>
        <v>537.16519365865759</v>
      </c>
    </row>
    <row r="24" spans="1:42" x14ac:dyDescent="0.2">
      <c r="B24" s="458" t="s">
        <v>858</v>
      </c>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f>AB23*(1-18%)</f>
        <v>314.06</v>
      </c>
      <c r="AC24" s="485">
        <f t="shared" ref="AC24:AN24" si="5">AC23*(1-18%)</f>
        <v>241.08</v>
      </c>
      <c r="AD24" s="485">
        <f t="shared" si="5"/>
        <v>253.58602179750744</v>
      </c>
      <c r="AE24" s="485">
        <f t="shared" si="5"/>
        <v>264.84040289376264</v>
      </c>
      <c r="AF24" s="485">
        <f t="shared" si="5"/>
        <v>273.83492658204727</v>
      </c>
      <c r="AG24" s="485">
        <f t="shared" si="5"/>
        <v>289.15038816395935</v>
      </c>
      <c r="AH24" s="485">
        <f t="shared" si="5"/>
        <v>304.54810931715826</v>
      </c>
      <c r="AI24" s="485">
        <f t="shared" si="5"/>
        <v>323.04400565765877</v>
      </c>
      <c r="AJ24" s="485">
        <f t="shared" si="5"/>
        <v>347.46872274583393</v>
      </c>
      <c r="AK24" s="485">
        <f t="shared" si="5"/>
        <v>373.45834389691288</v>
      </c>
      <c r="AL24" s="485">
        <f t="shared" si="5"/>
        <v>400.92706114034394</v>
      </c>
      <c r="AM24" s="485">
        <f t="shared" si="5"/>
        <v>420.27232022890593</v>
      </c>
      <c r="AN24" s="485">
        <f t="shared" si="5"/>
        <v>440.47545880009926</v>
      </c>
    </row>
    <row r="25" spans="1:42" x14ac:dyDescent="0.2">
      <c r="B25" s="458" t="s">
        <v>843</v>
      </c>
      <c r="C25" s="485"/>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f>Model!H796</f>
        <v>473</v>
      </c>
      <c r="AC25" s="485">
        <f>Model!I796</f>
        <v>220</v>
      </c>
      <c r="AD25" s="485">
        <f>Model!J796</f>
        <v>-325.98936795356803</v>
      </c>
      <c r="AE25" s="485">
        <f>Model!K796</f>
        <v>-536.21310261125905</v>
      </c>
      <c r="AF25" s="485">
        <f>Model!L796</f>
        <v>-769.95894653543701</v>
      </c>
      <c r="AG25" s="485">
        <f>Model!M796</f>
        <v>-1033.7662510340811</v>
      </c>
      <c r="AH25" s="485">
        <f>Model!N796</f>
        <v>-1330.1710668271658</v>
      </c>
      <c r="AI25" s="485">
        <f>Model!O796</f>
        <v>-1671.5165820752036</v>
      </c>
      <c r="AJ25" s="485">
        <f>Model!P796</f>
        <v>-2062.7046157081936</v>
      </c>
      <c r="AK25" s="485">
        <f>Model!Q796</f>
        <v>-2512.8341824222398</v>
      </c>
      <c r="AL25" s="485">
        <f>Model!R796</f>
        <v>-3028.0596888627324</v>
      </c>
      <c r="AM25" s="485">
        <f>Model!S796</f>
        <v>-3601.078465567381</v>
      </c>
      <c r="AN25" s="485">
        <f>Model!T796</f>
        <v>-4234.5041251690782</v>
      </c>
    </row>
    <row r="26" spans="1:42" x14ac:dyDescent="0.2">
      <c r="B26" s="458" t="s">
        <v>859</v>
      </c>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5"/>
      <c r="AN26" s="485"/>
    </row>
    <row r="27" spans="1:42" x14ac:dyDescent="0.2">
      <c r="B27" s="458" t="s">
        <v>860</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f>Model!H705</f>
        <v>887</v>
      </c>
      <c r="AC27" s="485">
        <f>Model!I705</f>
        <v>1080</v>
      </c>
      <c r="AD27" s="485">
        <f>Model!J705</f>
        <v>1525.0322071361106</v>
      </c>
      <c r="AE27" s="485">
        <f>Model!K705</f>
        <v>1867.8542069117348</v>
      </c>
      <c r="AF27" s="485">
        <f>Model!L705</f>
        <v>2227.6559674789082</v>
      </c>
      <c r="AG27" s="485">
        <f>Model!M705</f>
        <v>2611.2543406607497</v>
      </c>
      <c r="AH27" s="485">
        <f>Model!N705</f>
        <v>3020.2249640120758</v>
      </c>
      <c r="AI27" s="485">
        <f>Model!O705</f>
        <v>3448.5934946857219</v>
      </c>
      <c r="AJ27" s="485">
        <f>Model!P705</f>
        <v>3916.8762122775502</v>
      </c>
      <c r="AK27" s="485">
        <f>Model!Q705</f>
        <v>4430.6752234473361</v>
      </c>
      <c r="AL27" s="485">
        <f>Model!R705</f>
        <v>4996.3337023438253</v>
      </c>
      <c r="AM27" s="485">
        <f>Model!S705</f>
        <v>5606.8393861677341</v>
      </c>
      <c r="AN27" s="485">
        <f>Model!T705</f>
        <v>6278.908318347324</v>
      </c>
    </row>
    <row r="28" spans="1:42" x14ac:dyDescent="0.2">
      <c r="B28" s="458" t="s">
        <v>861</v>
      </c>
      <c r="C28" s="485"/>
      <c r="D28" s="485"/>
      <c r="E28" s="485"/>
      <c r="F28" s="485"/>
      <c r="G28" s="485"/>
      <c r="H28" s="485"/>
      <c r="I28" s="485"/>
      <c r="J28" s="485"/>
      <c r="K28" s="485"/>
      <c r="L28" s="485"/>
      <c r="M28" s="485"/>
      <c r="N28" s="485"/>
      <c r="O28" s="485"/>
      <c r="P28" s="485"/>
      <c r="Q28" s="485"/>
      <c r="R28" s="485"/>
      <c r="S28" s="485"/>
      <c r="T28" s="485"/>
      <c r="U28" s="485"/>
      <c r="V28" s="485"/>
      <c r="W28" s="485"/>
      <c r="X28" s="485"/>
      <c r="Y28" s="485"/>
      <c r="Z28" s="485"/>
      <c r="AA28" s="485"/>
      <c r="AB28" s="485">
        <f>Model!H654+Model!H655</f>
        <v>-47</v>
      </c>
      <c r="AC28" s="485">
        <f>Model!I654+Model!I655</f>
        <v>-42</v>
      </c>
      <c r="AD28" s="485">
        <f>Model!J654+Model!J655</f>
        <v>-18.199449757631342</v>
      </c>
      <c r="AE28" s="485">
        <f>Model!K654+Model!K655</f>
        <v>31.60374190198392</v>
      </c>
      <c r="AF28" s="485">
        <f>Model!L654+Model!L655</f>
        <v>51.389505163884252</v>
      </c>
      <c r="AG28" s="485">
        <f>Model!M654+Model!M655</f>
        <v>73.389114003806881</v>
      </c>
      <c r="AH28" s="485">
        <f>Model!N654+Model!N655</f>
        <v>98.218036780149845</v>
      </c>
      <c r="AI28" s="485">
        <f>Model!O654+Model!O655</f>
        <v>126.11496061949902</v>
      </c>
      <c r="AJ28" s="485">
        <f>Model!P654+Model!P655</f>
        <v>158.24159734872609</v>
      </c>
      <c r="AK28" s="485">
        <f>Model!Q654+Model!Q655</f>
        <v>195.05929463183102</v>
      </c>
      <c r="AL28" s="485">
        <f>Model!R654+Model!R655</f>
        <v>237.42443032256477</v>
      </c>
      <c r="AM28" s="485">
        <f>Model!S654+Model!S655</f>
        <v>285.9162426934347</v>
      </c>
      <c r="AN28" s="485">
        <f>Model!T654+Model!T655</f>
        <v>339.8474216774016</v>
      </c>
    </row>
    <row r="29" spans="1:42" x14ac:dyDescent="0.2">
      <c r="B29" s="458" t="s">
        <v>862</v>
      </c>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f>Model!H661</f>
        <v>281</v>
      </c>
      <c r="AC29" s="485">
        <f>Model!I661</f>
        <v>283</v>
      </c>
      <c r="AD29" s="485">
        <f>Model!J661</f>
        <v>297.63220713611054</v>
      </c>
      <c r="AE29" s="485">
        <f>Model!K661</f>
        <v>342.82199977562419</v>
      </c>
      <c r="AF29" s="485">
        <f>Model!L661</f>
        <v>359.80176056717363</v>
      </c>
      <c r="AG29" s="485">
        <f>Model!M661</f>
        <v>383.59837318184145</v>
      </c>
      <c r="AH29" s="485">
        <f>Model!N661</f>
        <v>408.97062335132603</v>
      </c>
      <c r="AI29" s="485">
        <f>Model!O661</f>
        <v>428.36853067364615</v>
      </c>
      <c r="AJ29" s="485">
        <f>Model!P661</f>
        <v>468.28271759182832</v>
      </c>
      <c r="AK29" s="485">
        <f>Model!Q661</f>
        <v>513.79901116978624</v>
      </c>
      <c r="AL29" s="485">
        <f>Model!R661</f>
        <v>565.65847889648921</v>
      </c>
      <c r="AM29" s="485">
        <f>Model!S661</f>
        <v>610.50568382390884</v>
      </c>
      <c r="AN29" s="485">
        <f>Model!T661</f>
        <v>672.06893217958952</v>
      </c>
    </row>
    <row r="30" spans="1:42" x14ac:dyDescent="0.2">
      <c r="B30" s="458" t="s">
        <v>863</v>
      </c>
      <c r="C30" s="485"/>
      <c r="D30" s="485"/>
      <c r="E30" s="485"/>
      <c r="F30" s="485"/>
      <c r="G30" s="485"/>
      <c r="H30" s="485"/>
      <c r="I30" s="485"/>
      <c r="J30" s="485"/>
      <c r="K30" s="485"/>
      <c r="L30" s="485"/>
      <c r="M30" s="485"/>
      <c r="N30" s="485"/>
      <c r="O30" s="485"/>
      <c r="P30" s="485"/>
      <c r="Q30" s="485"/>
      <c r="R30" s="485"/>
      <c r="S30" s="485"/>
      <c r="T30" s="485"/>
      <c r="U30" s="485"/>
      <c r="V30" s="485"/>
      <c r="W30" s="485"/>
      <c r="X30" s="485"/>
      <c r="Y30" s="485"/>
      <c r="Z30" s="485"/>
      <c r="AA30" s="485"/>
      <c r="AB30" s="485">
        <f>AB29</f>
        <v>281</v>
      </c>
      <c r="AC30" s="485">
        <f t="shared" ref="AC30:AN30" si="6">AC29</f>
        <v>283</v>
      </c>
      <c r="AD30" s="485">
        <f t="shared" si="6"/>
        <v>297.63220713611054</v>
      </c>
      <c r="AE30" s="485">
        <f t="shared" si="6"/>
        <v>342.82199977562419</v>
      </c>
      <c r="AF30" s="485">
        <f t="shared" si="6"/>
        <v>359.80176056717363</v>
      </c>
      <c r="AG30" s="485">
        <f t="shared" si="6"/>
        <v>383.59837318184145</v>
      </c>
      <c r="AH30" s="485">
        <f t="shared" si="6"/>
        <v>408.97062335132603</v>
      </c>
      <c r="AI30" s="485">
        <f t="shared" si="6"/>
        <v>428.36853067364615</v>
      </c>
      <c r="AJ30" s="485">
        <f t="shared" si="6"/>
        <v>468.28271759182832</v>
      </c>
      <c r="AK30" s="485">
        <f t="shared" si="6"/>
        <v>513.79901116978624</v>
      </c>
      <c r="AL30" s="485">
        <f t="shared" si="6"/>
        <v>565.65847889648921</v>
      </c>
      <c r="AM30" s="485">
        <f t="shared" si="6"/>
        <v>610.50568382390884</v>
      </c>
      <c r="AN30" s="485">
        <f t="shared" si="6"/>
        <v>672.06893217958952</v>
      </c>
      <c r="AP30" s="462" t="s">
        <v>864</v>
      </c>
    </row>
    <row r="31" spans="1:42" x14ac:dyDescent="0.2">
      <c r="B31" s="458" t="s">
        <v>865</v>
      </c>
      <c r="C31" s="485"/>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f>Model!H808</f>
        <v>0</v>
      </c>
      <c r="AC31" s="485">
        <f>Model!I808</f>
        <v>145</v>
      </c>
      <c r="AD31" s="485">
        <f>Model!J808</f>
        <v>176.65984319516213</v>
      </c>
      <c r="AE31" s="485">
        <f>Model!K808</f>
        <v>204.57821511171525</v>
      </c>
      <c r="AF31" s="485">
        <f>Model!L808</f>
        <v>224.96501638454976</v>
      </c>
      <c r="AG31" s="485">
        <f>Model!M808</f>
        <v>249.48434218008467</v>
      </c>
      <c r="AH31" s="485">
        <f>Model!N808</f>
        <v>275.24100267103449</v>
      </c>
      <c r="AI31" s="485">
        <f>Model!O808</f>
        <v>314.60450971935029</v>
      </c>
      <c r="AJ31" s="485">
        <f>Model!P808</f>
        <v>358.37112909277892</v>
      </c>
      <c r="AK31" s="485">
        <f>Model!Q808</f>
        <v>410.70524072456385</v>
      </c>
      <c r="AL31" s="485">
        <f>Model!R808</f>
        <v>468.5914674983203</v>
      </c>
      <c r="AM31" s="485">
        <f>Model!S808</f>
        <v>524.05280465812893</v>
      </c>
      <c r="AN31" s="485">
        <f>Model!T808</f>
        <v>582.08105013899205</v>
      </c>
      <c r="AP31" s="456" t="s">
        <v>866</v>
      </c>
    </row>
    <row r="32" spans="1:42" x14ac:dyDescent="0.2">
      <c r="A32" s="456" t="s">
        <v>22</v>
      </c>
      <c r="B32" s="458" t="s">
        <v>867</v>
      </c>
      <c r="C32" s="485"/>
      <c r="D32" s="485"/>
      <c r="E32" s="485"/>
      <c r="F32" s="485"/>
      <c r="G32" s="485"/>
      <c r="H32" s="485"/>
      <c r="I32" s="485"/>
      <c r="J32" s="485"/>
      <c r="K32" s="485"/>
      <c r="L32" s="485"/>
      <c r="M32" s="485"/>
      <c r="N32" s="485"/>
      <c r="O32" s="485"/>
      <c r="P32" s="485"/>
      <c r="Q32" s="485"/>
      <c r="R32" s="485"/>
      <c r="S32" s="485"/>
      <c r="T32" s="485"/>
      <c r="U32" s="485"/>
      <c r="V32" s="485"/>
      <c r="W32" s="485"/>
      <c r="X32" s="485"/>
      <c r="Y32" s="485"/>
      <c r="Z32" s="485"/>
      <c r="AA32" s="485"/>
      <c r="AB32" s="485">
        <f>-Model!H807</f>
        <v>0</v>
      </c>
      <c r="AC32" s="485">
        <f>-Model!I807</f>
        <v>82</v>
      </c>
      <c r="AD32" s="485">
        <f>-Model!J807</f>
        <v>92.130785438662585</v>
      </c>
      <c r="AE32" s="485">
        <f>-Model!K807</f>
        <v>100.09025668449343</v>
      </c>
      <c r="AF32" s="485">
        <f>-Model!L807</f>
        <v>107.82708158039891</v>
      </c>
      <c r="AG32" s="485">
        <f>-Model!M807</f>
        <v>115.17676276605576</v>
      </c>
      <c r="AH32" s="485">
        <f>-Model!N807</f>
        <v>120.9402439105647</v>
      </c>
      <c r="AI32" s="485">
        <f>-Model!O807</f>
        <v>126.97133470130973</v>
      </c>
      <c r="AJ32" s="485">
        <f>-Model!P807</f>
        <v>133.28064794680475</v>
      </c>
      <c r="AK32" s="485">
        <f>-Model!Q807</f>
        <v>139.87920098244317</v>
      </c>
      <c r="AL32" s="485">
        <f>-Model!R807</f>
        <v>146.71564638652811</v>
      </c>
      <c r="AM32" s="485">
        <f>-Model!S807</f>
        <v>153.7948696837046</v>
      </c>
      <c r="AN32" s="485">
        <f>-Model!T807</f>
        <v>161.18802624958587</v>
      </c>
    </row>
    <row r="33" spans="1:40" x14ac:dyDescent="0.2">
      <c r="A33" s="456" t="s">
        <v>22</v>
      </c>
      <c r="B33" s="458" t="s">
        <v>868</v>
      </c>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row>
    <row r="34" spans="1:40" x14ac:dyDescent="0.2">
      <c r="B34" s="456" t="s">
        <v>869</v>
      </c>
      <c r="C34" s="485"/>
      <c r="D34" s="485"/>
      <c r="E34" s="486"/>
      <c r="F34" s="486"/>
      <c r="G34" s="486"/>
      <c r="H34" s="486"/>
      <c r="I34" s="486"/>
      <c r="J34" s="486"/>
      <c r="K34" s="486"/>
      <c r="L34" s="486"/>
      <c r="M34" s="486"/>
      <c r="N34" s="486"/>
      <c r="O34" s="486"/>
      <c r="P34" s="486"/>
      <c r="Q34" s="486"/>
      <c r="R34" s="486"/>
      <c r="S34" s="486"/>
      <c r="T34" s="486"/>
      <c r="U34" s="486"/>
      <c r="V34" s="486"/>
      <c r="W34" s="486"/>
      <c r="X34" s="486"/>
      <c r="Y34" s="486"/>
      <c r="Z34" s="486"/>
      <c r="AA34" s="486"/>
      <c r="AB34" s="486"/>
      <c r="AC34" s="486"/>
      <c r="AD34" s="486"/>
      <c r="AE34" s="486"/>
      <c r="AF34" s="486"/>
      <c r="AG34" s="486"/>
      <c r="AH34" s="486"/>
      <c r="AI34" s="486"/>
      <c r="AJ34" s="486"/>
      <c r="AK34" s="486"/>
      <c r="AL34" s="486"/>
      <c r="AM34" s="486"/>
      <c r="AN34" s="486"/>
    </row>
    <row r="35" spans="1:40" x14ac:dyDescent="0.2">
      <c r="B35" s="458" t="s">
        <v>870</v>
      </c>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f>Model!H705</f>
        <v>887</v>
      </c>
      <c r="AC35" s="485">
        <f>Model!I705</f>
        <v>1080</v>
      </c>
      <c r="AD35" s="485">
        <f>Model!J705</f>
        <v>1525.0322071361106</v>
      </c>
      <c r="AE35" s="485">
        <f>Model!K705</f>
        <v>1867.8542069117348</v>
      </c>
      <c r="AF35" s="485">
        <f>Model!L705</f>
        <v>2227.6559674789082</v>
      </c>
      <c r="AG35" s="485">
        <f>Model!M705</f>
        <v>2611.2543406607497</v>
      </c>
      <c r="AH35" s="485">
        <f>Model!N705</f>
        <v>3020.2249640120758</v>
      </c>
      <c r="AI35" s="485">
        <f>Model!O705</f>
        <v>3448.5934946857219</v>
      </c>
      <c r="AJ35" s="485">
        <f>Model!P705</f>
        <v>3916.8762122775502</v>
      </c>
      <c r="AK35" s="485">
        <f>Model!Q705</f>
        <v>4430.6752234473361</v>
      </c>
      <c r="AL35" s="485">
        <f>Model!R705</f>
        <v>4996.3337023438253</v>
      </c>
      <c r="AM35" s="485">
        <f>Model!S705</f>
        <v>5606.8393861677341</v>
      </c>
      <c r="AN35" s="485">
        <f>Model!T705</f>
        <v>6278.908318347324</v>
      </c>
    </row>
    <row r="36" spans="1:40" x14ac:dyDescent="0.2">
      <c r="B36" s="456" t="s">
        <v>871</v>
      </c>
      <c r="C36" s="485"/>
      <c r="D36" s="485"/>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row>
    <row r="37" spans="1:40" x14ac:dyDescent="0.2">
      <c r="B37" s="456" t="s">
        <v>872</v>
      </c>
      <c r="C37" s="485"/>
      <c r="D37" s="485"/>
      <c r="E37" s="486"/>
      <c r="F37" s="486"/>
      <c r="G37" s="486"/>
      <c r="H37" s="486"/>
      <c r="I37" s="486"/>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486"/>
      <c r="AL37" s="486"/>
      <c r="AM37" s="486"/>
      <c r="AN37" s="486"/>
    </row>
    <row r="38" spans="1:40" x14ac:dyDescent="0.2">
      <c r="B38" s="456" t="s">
        <v>873</v>
      </c>
      <c r="C38" s="485"/>
      <c r="D38" s="485"/>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row>
    <row r="39" spans="1:40" x14ac:dyDescent="0.2">
      <c r="B39" s="456" t="s">
        <v>874</v>
      </c>
      <c r="C39" s="485"/>
      <c r="D39" s="485"/>
      <c r="E39" s="486"/>
      <c r="F39" s="486"/>
      <c r="G39" s="486"/>
      <c r="H39" s="486"/>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row>
    <row r="40" spans="1:40" x14ac:dyDescent="0.2">
      <c r="B40" s="456" t="s">
        <v>875</v>
      </c>
      <c r="C40" s="485"/>
      <c r="D40" s="485"/>
      <c r="E40" s="486"/>
      <c r="F40" s="486"/>
      <c r="G40" s="486"/>
      <c r="H40" s="486"/>
      <c r="I40" s="486"/>
      <c r="J40" s="486"/>
      <c r="K40" s="486"/>
      <c r="L40" s="486"/>
      <c r="M40" s="486"/>
      <c r="N40" s="486"/>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row>
    <row r="41" spans="1:40" x14ac:dyDescent="0.2">
      <c r="B41" s="456" t="s">
        <v>876</v>
      </c>
      <c r="C41" s="485"/>
      <c r="D41" s="485"/>
      <c r="E41" s="486"/>
      <c r="F41" s="486"/>
      <c r="G41" s="486"/>
      <c r="H41" s="486"/>
      <c r="I41" s="486"/>
      <c r="J41" s="486"/>
      <c r="K41" s="486"/>
      <c r="L41" s="486"/>
      <c r="M41" s="486"/>
      <c r="N41" s="486"/>
      <c r="O41" s="486"/>
      <c r="P41" s="486"/>
      <c r="Q41" s="486"/>
      <c r="R41" s="486"/>
      <c r="S41" s="486"/>
      <c r="T41" s="486"/>
      <c r="U41" s="486"/>
      <c r="V41" s="486"/>
      <c r="W41" s="486"/>
      <c r="X41" s="486"/>
      <c r="Y41" s="486"/>
      <c r="Z41" s="486"/>
      <c r="AA41" s="486"/>
      <c r="AB41" s="486"/>
      <c r="AC41" s="486"/>
      <c r="AD41" s="486"/>
      <c r="AE41" s="486"/>
      <c r="AF41" s="486"/>
      <c r="AG41" s="486"/>
      <c r="AH41" s="486"/>
      <c r="AI41" s="486"/>
      <c r="AJ41" s="486"/>
      <c r="AK41" s="486"/>
      <c r="AL41" s="486"/>
      <c r="AM41" s="486"/>
      <c r="AN41" s="486"/>
    </row>
    <row r="42" spans="1:40" x14ac:dyDescent="0.2">
      <c r="B42" s="456" t="s">
        <v>877</v>
      </c>
      <c r="C42" s="485"/>
      <c r="D42" s="485"/>
      <c r="E42" s="486"/>
      <c r="F42" s="486"/>
      <c r="G42" s="486"/>
      <c r="H42" s="486"/>
      <c r="I42" s="486"/>
      <c r="J42" s="486"/>
      <c r="K42" s="486"/>
      <c r="L42" s="486"/>
      <c r="M42" s="486"/>
      <c r="N42" s="486"/>
      <c r="O42" s="486"/>
      <c r="P42" s="486"/>
      <c r="Q42" s="486"/>
      <c r="R42" s="486"/>
      <c r="S42" s="486"/>
      <c r="T42" s="486"/>
      <c r="U42" s="486"/>
      <c r="V42" s="486"/>
      <c r="W42" s="486"/>
      <c r="X42" s="486"/>
      <c r="Y42" s="486"/>
      <c r="Z42" s="486"/>
      <c r="AA42" s="486"/>
      <c r="AB42" s="486"/>
      <c r="AC42" s="486"/>
      <c r="AD42" s="486"/>
      <c r="AE42" s="486"/>
      <c r="AF42" s="486"/>
      <c r="AG42" s="486"/>
      <c r="AH42" s="486"/>
      <c r="AI42" s="486"/>
      <c r="AJ42" s="486"/>
      <c r="AK42" s="486"/>
      <c r="AL42" s="486"/>
      <c r="AM42" s="486"/>
      <c r="AN42" s="486"/>
    </row>
    <row r="43" spans="1:40" x14ac:dyDescent="0.2">
      <c r="B43" s="456" t="s">
        <v>878</v>
      </c>
      <c r="C43" s="485"/>
      <c r="D43" s="485"/>
      <c r="E43" s="486"/>
      <c r="F43" s="486"/>
      <c r="G43" s="486"/>
      <c r="H43" s="486"/>
      <c r="I43" s="486"/>
      <c r="J43" s="486"/>
      <c r="K43" s="486"/>
      <c r="L43" s="486"/>
      <c r="M43" s="486"/>
      <c r="N43" s="486"/>
      <c r="O43" s="486"/>
      <c r="P43" s="486"/>
      <c r="Q43" s="486"/>
      <c r="R43" s="486"/>
      <c r="S43" s="486"/>
      <c r="T43" s="486"/>
      <c r="U43" s="486"/>
      <c r="V43" s="486"/>
      <c r="W43" s="486"/>
      <c r="X43" s="486"/>
      <c r="Y43" s="486"/>
      <c r="Z43" s="486"/>
      <c r="AA43" s="486"/>
      <c r="AB43" s="486"/>
      <c r="AC43" s="486"/>
      <c r="AD43" s="486"/>
      <c r="AE43" s="486"/>
      <c r="AF43" s="486"/>
      <c r="AG43" s="486"/>
      <c r="AH43" s="486"/>
      <c r="AI43" s="486"/>
      <c r="AJ43" s="486"/>
      <c r="AK43" s="486"/>
      <c r="AL43" s="486"/>
      <c r="AM43" s="486"/>
      <c r="AN43" s="486"/>
    </row>
    <row r="44" spans="1:40" x14ac:dyDescent="0.2">
      <c r="B44" s="456" t="s">
        <v>879</v>
      </c>
      <c r="C44" s="485"/>
      <c r="D44" s="485"/>
      <c r="E44" s="486"/>
      <c r="F44" s="486"/>
      <c r="G44" s="486"/>
      <c r="H44" s="486"/>
      <c r="I44" s="486"/>
      <c r="J44" s="486"/>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6"/>
    </row>
    <row r="45" spans="1:40" x14ac:dyDescent="0.2">
      <c r="B45" s="456" t="s">
        <v>880</v>
      </c>
      <c r="C45" s="485"/>
      <c r="D45" s="485"/>
      <c r="E45" s="486"/>
      <c r="F45" s="486"/>
      <c r="G45" s="486"/>
      <c r="H45" s="486"/>
      <c r="I45" s="486"/>
      <c r="J45" s="486"/>
      <c r="K45" s="486"/>
      <c r="L45" s="486"/>
      <c r="M45" s="486"/>
      <c r="N45" s="486"/>
      <c r="O45" s="486"/>
      <c r="P45" s="486"/>
      <c r="Q45" s="486"/>
      <c r="R45" s="486"/>
      <c r="S45" s="486"/>
      <c r="T45" s="486"/>
      <c r="U45" s="486"/>
      <c r="V45" s="486"/>
      <c r="W45" s="486"/>
      <c r="X45" s="486"/>
      <c r="Y45" s="486"/>
      <c r="Z45" s="486"/>
      <c r="AA45" s="486"/>
      <c r="AB45" s="486"/>
      <c r="AC45" s="486"/>
      <c r="AD45" s="486"/>
      <c r="AE45" s="486"/>
      <c r="AF45" s="486"/>
      <c r="AG45" s="486"/>
      <c r="AH45" s="486"/>
      <c r="AI45" s="486"/>
      <c r="AJ45" s="486"/>
      <c r="AK45" s="486"/>
      <c r="AL45" s="486"/>
      <c r="AM45" s="486"/>
      <c r="AN45" s="486"/>
    </row>
    <row r="46" spans="1:40" x14ac:dyDescent="0.2">
      <c r="B46" s="456" t="s">
        <v>881</v>
      </c>
      <c r="C46" s="485"/>
      <c r="D46" s="485"/>
      <c r="E46" s="486"/>
      <c r="F46" s="486"/>
      <c r="G46" s="486"/>
      <c r="H46" s="486"/>
      <c r="I46" s="486"/>
      <c r="J46" s="486"/>
      <c r="K46" s="486"/>
      <c r="L46" s="486"/>
      <c r="M46" s="486"/>
      <c r="N46" s="486"/>
      <c r="O46" s="48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row>
    <row r="47" spans="1:40" x14ac:dyDescent="0.2">
      <c r="B47" s="456" t="s">
        <v>882</v>
      </c>
      <c r="C47" s="485"/>
      <c r="D47" s="485"/>
      <c r="E47" s="486"/>
      <c r="F47" s="486"/>
      <c r="G47" s="486"/>
      <c r="H47" s="486"/>
      <c r="I47" s="486"/>
      <c r="J47" s="486"/>
      <c r="K47" s="486"/>
      <c r="L47" s="486"/>
      <c r="M47" s="486"/>
      <c r="N47" s="486"/>
      <c r="O47" s="486"/>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row>
    <row r="48" spans="1:40" x14ac:dyDescent="0.2">
      <c r="B48" s="456" t="s">
        <v>883</v>
      </c>
      <c r="C48" s="485"/>
      <c r="D48" s="485"/>
      <c r="E48" s="486"/>
      <c r="F48" s="486"/>
      <c r="G48" s="486"/>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row>
    <row r="49" spans="2:40" x14ac:dyDescent="0.2">
      <c r="B49" s="456" t="s">
        <v>884</v>
      </c>
      <c r="C49" s="485"/>
      <c r="D49" s="485"/>
      <c r="E49" s="486"/>
      <c r="F49" s="486"/>
      <c r="G49" s="486"/>
      <c r="H49" s="486"/>
      <c r="I49" s="486"/>
      <c r="J49" s="486"/>
      <c r="K49" s="486"/>
      <c r="L49" s="486"/>
      <c r="M49" s="486"/>
      <c r="N49" s="486"/>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row>
    <row r="50" spans="2:40" x14ac:dyDescent="0.2">
      <c r="B50" s="456" t="s">
        <v>885</v>
      </c>
      <c r="C50" s="485"/>
      <c r="D50" s="485"/>
      <c r="E50" s="486"/>
      <c r="F50" s="486"/>
      <c r="G50" s="486"/>
      <c r="H50" s="486"/>
      <c r="I50" s="486"/>
      <c r="J50" s="486"/>
      <c r="K50" s="486"/>
      <c r="L50" s="486"/>
      <c r="M50" s="486"/>
      <c r="N50" s="486"/>
      <c r="O50" s="486"/>
      <c r="P50" s="486"/>
      <c r="Q50" s="486"/>
      <c r="R50" s="486"/>
      <c r="S50" s="486"/>
      <c r="T50" s="486"/>
      <c r="U50" s="486"/>
      <c r="V50" s="486"/>
      <c r="W50" s="486"/>
      <c r="X50" s="486"/>
      <c r="Y50" s="486"/>
      <c r="Z50" s="486"/>
      <c r="AA50" s="486"/>
      <c r="AB50" s="486"/>
      <c r="AC50" s="486"/>
      <c r="AD50" s="486"/>
      <c r="AE50" s="486"/>
      <c r="AF50" s="486"/>
      <c r="AG50" s="486"/>
      <c r="AH50" s="486"/>
      <c r="AI50" s="486"/>
      <c r="AJ50" s="486"/>
      <c r="AK50" s="486"/>
      <c r="AL50" s="486"/>
      <c r="AM50" s="486"/>
      <c r="AN50" s="486"/>
    </row>
    <row r="51" spans="2:40" x14ac:dyDescent="0.2">
      <c r="B51" s="456" t="s">
        <v>886</v>
      </c>
      <c r="C51" s="485"/>
      <c r="D51" s="485"/>
      <c r="E51" s="486"/>
      <c r="F51" s="486"/>
      <c r="G51" s="486"/>
      <c r="H51" s="486"/>
      <c r="I51" s="486"/>
      <c r="J51" s="486"/>
      <c r="K51" s="486"/>
      <c r="L51" s="486"/>
      <c r="M51" s="486"/>
      <c r="N51" s="486"/>
      <c r="O51" s="486"/>
      <c r="P51" s="486"/>
      <c r="Q51" s="486"/>
      <c r="R51" s="486"/>
      <c r="S51" s="486"/>
      <c r="T51" s="486"/>
      <c r="U51" s="486"/>
      <c r="V51" s="486"/>
      <c r="W51" s="486"/>
      <c r="X51" s="486"/>
      <c r="Y51" s="486"/>
      <c r="Z51" s="486"/>
      <c r="AA51" s="486"/>
      <c r="AB51" s="486"/>
      <c r="AC51" s="486"/>
      <c r="AD51" s="486"/>
      <c r="AE51" s="486"/>
      <c r="AF51" s="486"/>
      <c r="AG51" s="486"/>
      <c r="AH51" s="486"/>
      <c r="AI51" s="486"/>
      <c r="AJ51" s="486"/>
      <c r="AK51" s="486"/>
      <c r="AL51" s="486"/>
      <c r="AM51" s="486"/>
      <c r="AN51" s="486"/>
    </row>
    <row r="52" spans="2:40" x14ac:dyDescent="0.2">
      <c r="B52" s="456" t="s">
        <v>887</v>
      </c>
      <c r="C52" s="485"/>
      <c r="D52" s="485"/>
      <c r="E52" s="486"/>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row>
    <row r="53" spans="2:40" x14ac:dyDescent="0.2">
      <c r="B53" s="458" t="s">
        <v>888</v>
      </c>
      <c r="C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B53" s="485"/>
      <c r="AC53" s="485"/>
      <c r="AD53" s="485"/>
      <c r="AE53" s="485"/>
      <c r="AF53" s="485"/>
      <c r="AG53" s="485"/>
      <c r="AH53" s="485"/>
      <c r="AI53" s="485"/>
      <c r="AJ53" s="485"/>
      <c r="AK53" s="485"/>
      <c r="AL53" s="485"/>
      <c r="AM53" s="485"/>
      <c r="AN53" s="485"/>
    </row>
    <row r="54" spans="2:40" x14ac:dyDescent="0.2">
      <c r="B54" s="456" t="s">
        <v>889</v>
      </c>
      <c r="C54" s="485"/>
      <c r="D54" s="485"/>
      <c r="E54" s="486"/>
      <c r="F54" s="486"/>
      <c r="G54" s="486"/>
      <c r="H54" s="486"/>
      <c r="I54" s="486"/>
      <c r="J54" s="486"/>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c r="AM54" s="486"/>
      <c r="AN54" s="486"/>
    </row>
    <row r="55" spans="2:40" x14ac:dyDescent="0.2">
      <c r="B55" s="456" t="s">
        <v>890</v>
      </c>
      <c r="C55" s="485"/>
      <c r="D55" s="485"/>
      <c r="E55" s="486"/>
      <c r="F55" s="486"/>
      <c r="G55" s="486"/>
      <c r="H55" s="486"/>
      <c r="I55" s="486"/>
      <c r="J55" s="486"/>
      <c r="K55" s="486"/>
      <c r="L55" s="486"/>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row>
    <row r="56" spans="2:40" x14ac:dyDescent="0.2">
      <c r="B56" s="456" t="s">
        <v>891</v>
      </c>
      <c r="C56" s="485"/>
      <c r="D56" s="485"/>
      <c r="E56" s="486"/>
      <c r="F56" s="486"/>
      <c r="G56" s="486"/>
      <c r="H56" s="486"/>
      <c r="I56" s="486"/>
      <c r="J56" s="486"/>
      <c r="K56" s="486"/>
      <c r="L56" s="486"/>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row>
    <row r="57" spans="2:40" x14ac:dyDescent="0.2">
      <c r="B57" s="458" t="s">
        <v>892</v>
      </c>
      <c r="C57" s="485"/>
      <c r="D57" s="485"/>
      <c r="E57" s="485"/>
      <c r="F57" s="485"/>
      <c r="G57" s="485"/>
      <c r="H57" s="485"/>
      <c r="I57" s="485"/>
      <c r="J57" s="485"/>
      <c r="K57" s="485"/>
      <c r="L57" s="485"/>
      <c r="M57" s="485"/>
      <c r="N57" s="485"/>
      <c r="O57" s="485"/>
      <c r="P57" s="485"/>
      <c r="Q57" s="485"/>
      <c r="R57" s="485"/>
      <c r="S57" s="485"/>
      <c r="T57" s="485"/>
      <c r="U57" s="485"/>
      <c r="V57" s="485"/>
      <c r="W57" s="485"/>
      <c r="X57" s="485"/>
      <c r="Y57" s="485"/>
      <c r="Z57" s="485"/>
      <c r="AA57" s="485"/>
      <c r="AB57" s="485"/>
      <c r="AC57" s="485"/>
      <c r="AD57" s="485"/>
      <c r="AE57" s="485"/>
      <c r="AF57" s="485"/>
      <c r="AG57" s="485"/>
      <c r="AH57" s="485"/>
      <c r="AI57" s="485"/>
      <c r="AJ57" s="485"/>
      <c r="AK57" s="485"/>
      <c r="AL57" s="485"/>
      <c r="AM57" s="485"/>
      <c r="AN57" s="485"/>
    </row>
    <row r="58" spans="2:40" x14ac:dyDescent="0.2">
      <c r="B58" s="456" t="s">
        <v>893</v>
      </c>
      <c r="C58" s="485"/>
      <c r="D58" s="485"/>
      <c r="E58" s="486"/>
      <c r="F58" s="486"/>
      <c r="G58" s="486"/>
      <c r="H58" s="486"/>
      <c r="I58" s="486"/>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row>
    <row r="59" spans="2:40" x14ac:dyDescent="0.2">
      <c r="B59" s="456" t="s">
        <v>894</v>
      </c>
      <c r="C59" s="485"/>
      <c r="D59" s="485"/>
      <c r="E59" s="486"/>
      <c r="F59" s="486"/>
      <c r="G59" s="486"/>
      <c r="H59" s="486"/>
      <c r="I59" s="486"/>
      <c r="J59" s="486"/>
      <c r="K59" s="486"/>
      <c r="L59" s="486"/>
      <c r="M59" s="486"/>
      <c r="N59" s="48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c r="AL59" s="486"/>
      <c r="AM59" s="486"/>
      <c r="AN59" s="486"/>
    </row>
    <row r="60" spans="2:40" x14ac:dyDescent="0.2">
      <c r="B60" s="456" t="s">
        <v>895</v>
      </c>
      <c r="C60" s="485"/>
      <c r="D60" s="485"/>
      <c r="E60" s="486"/>
      <c r="F60" s="486"/>
      <c r="G60" s="486"/>
      <c r="H60" s="486"/>
      <c r="I60" s="486"/>
      <c r="J60" s="48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row>
    <row r="61" spans="2:40" x14ac:dyDescent="0.2">
      <c r="B61" s="456" t="s">
        <v>896</v>
      </c>
      <c r="C61" s="485"/>
      <c r="D61" s="485"/>
      <c r="E61" s="486"/>
      <c r="F61" s="486"/>
      <c r="G61" s="486"/>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row>
    <row r="62" spans="2:40" x14ac:dyDescent="0.2">
      <c r="B62" s="456" t="s">
        <v>897</v>
      </c>
      <c r="C62" s="485"/>
      <c r="D62" s="485"/>
      <c r="E62" s="486"/>
      <c r="F62" s="486"/>
      <c r="G62" s="486"/>
      <c r="H62" s="486"/>
      <c r="I62" s="486"/>
      <c r="J62" s="486"/>
      <c r="K62" s="486"/>
      <c r="L62" s="486"/>
      <c r="M62" s="486"/>
      <c r="N62" s="48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row>
    <row r="63" spans="2:40" x14ac:dyDescent="0.2">
      <c r="B63" s="456" t="s">
        <v>898</v>
      </c>
      <c r="C63" s="485"/>
      <c r="D63" s="485"/>
      <c r="E63" s="486"/>
      <c r="F63" s="486"/>
      <c r="G63" s="486"/>
      <c r="H63" s="486"/>
      <c r="I63" s="486"/>
      <c r="J63" s="486"/>
      <c r="K63" s="486"/>
      <c r="L63" s="486"/>
      <c r="M63" s="486"/>
      <c r="N63" s="486"/>
      <c r="O63" s="486"/>
      <c r="P63" s="486"/>
      <c r="Q63" s="486"/>
      <c r="R63" s="486"/>
      <c r="S63" s="486"/>
      <c r="T63" s="486"/>
      <c r="U63" s="486"/>
      <c r="V63" s="486"/>
      <c r="W63" s="486"/>
      <c r="X63" s="486"/>
      <c r="Y63" s="486"/>
      <c r="Z63" s="486"/>
      <c r="AA63" s="486"/>
      <c r="AB63" s="486"/>
      <c r="AC63" s="486"/>
      <c r="AD63" s="486"/>
      <c r="AE63" s="486"/>
      <c r="AF63" s="486"/>
      <c r="AG63" s="486"/>
      <c r="AH63" s="486"/>
      <c r="AI63" s="486"/>
      <c r="AJ63" s="486"/>
      <c r="AK63" s="486"/>
      <c r="AL63" s="486"/>
      <c r="AM63" s="486"/>
      <c r="AN63" s="486"/>
    </row>
    <row r="64" spans="2:40" x14ac:dyDescent="0.2">
      <c r="B64" s="456" t="s">
        <v>899</v>
      </c>
      <c r="C64" s="485"/>
      <c r="D64" s="485"/>
      <c r="E64" s="490"/>
      <c r="F64" s="490"/>
      <c r="G64" s="490"/>
      <c r="H64" s="490"/>
      <c r="I64" s="490"/>
      <c r="J64" s="490"/>
      <c r="K64" s="490"/>
      <c r="L64" s="490"/>
      <c r="M64" s="490"/>
      <c r="N64" s="490"/>
      <c r="O64" s="490"/>
      <c r="P64" s="490"/>
      <c r="Q64" s="490"/>
      <c r="R64" s="490"/>
      <c r="S64" s="490"/>
      <c r="T64" s="490"/>
      <c r="U64" s="490"/>
      <c r="V64" s="490"/>
      <c r="W64" s="490"/>
      <c r="X64" s="490"/>
      <c r="Y64" s="490"/>
      <c r="Z64" s="490"/>
      <c r="AA64" s="490"/>
      <c r="AB64" s="490"/>
      <c r="AC64" s="490"/>
      <c r="AD64" s="490"/>
      <c r="AE64" s="490"/>
      <c r="AF64" s="490"/>
      <c r="AG64" s="490"/>
      <c r="AH64" s="490"/>
      <c r="AI64" s="490"/>
      <c r="AJ64" s="490"/>
      <c r="AK64" s="490"/>
      <c r="AL64" s="490"/>
      <c r="AM64" s="490"/>
      <c r="AN64" s="490"/>
    </row>
    <row r="65" spans="2:40" x14ac:dyDescent="0.2">
      <c r="B65" s="456" t="s">
        <v>900</v>
      </c>
      <c r="C65" s="485"/>
      <c r="D65" s="485"/>
      <c r="E65" s="486"/>
      <c r="F65" s="486"/>
      <c r="G65" s="486"/>
      <c r="H65" s="486"/>
      <c r="I65" s="486"/>
      <c r="J65" s="486"/>
      <c r="K65" s="486"/>
      <c r="L65" s="486"/>
      <c r="M65" s="486"/>
      <c r="N65" s="486"/>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row>
    <row r="66" spans="2:40" x14ac:dyDescent="0.2">
      <c r="B66" s="456" t="s">
        <v>901</v>
      </c>
      <c r="C66" s="485"/>
      <c r="D66" s="485"/>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486"/>
      <c r="AE66" s="486"/>
      <c r="AF66" s="486"/>
      <c r="AG66" s="486"/>
      <c r="AH66" s="486"/>
      <c r="AI66" s="486"/>
      <c r="AJ66" s="486"/>
      <c r="AK66" s="486"/>
      <c r="AL66" s="486"/>
      <c r="AM66" s="486"/>
      <c r="AN66" s="486"/>
    </row>
    <row r="67" spans="2:40" x14ac:dyDescent="0.2">
      <c r="B67" s="456" t="s">
        <v>902</v>
      </c>
      <c r="C67" s="485"/>
      <c r="D67" s="485"/>
      <c r="E67" s="486"/>
      <c r="F67" s="486"/>
      <c r="G67" s="486"/>
      <c r="H67" s="486"/>
      <c r="I67" s="486"/>
      <c r="J67" s="486"/>
      <c r="K67" s="486"/>
      <c r="L67" s="486"/>
      <c r="M67" s="486"/>
      <c r="N67" s="486"/>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row>
    <row r="68" spans="2:40" x14ac:dyDescent="0.2">
      <c r="B68" s="456" t="s">
        <v>903</v>
      </c>
      <c r="C68" s="485"/>
      <c r="D68" s="485"/>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row>
    <row r="69" spans="2:40" x14ac:dyDescent="0.2">
      <c r="B69" s="456" t="s">
        <v>904</v>
      </c>
      <c r="C69" s="485"/>
      <c r="D69" s="485"/>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row>
    <row r="70" spans="2:40" x14ac:dyDescent="0.2">
      <c r="B70" s="456" t="s">
        <v>905</v>
      </c>
      <c r="C70" s="485"/>
      <c r="D70" s="485"/>
      <c r="E70" s="486"/>
      <c r="F70" s="486"/>
      <c r="G70" s="486"/>
      <c r="H70" s="486"/>
      <c r="I70" s="486"/>
      <c r="J70" s="486"/>
      <c r="K70" s="486"/>
      <c r="L70" s="486"/>
      <c r="M70" s="486"/>
      <c r="N70" s="486"/>
      <c r="O70" s="486"/>
      <c r="P70" s="486"/>
      <c r="Q70" s="486"/>
      <c r="R70" s="486"/>
      <c r="S70" s="486"/>
      <c r="T70" s="486"/>
      <c r="U70" s="486"/>
      <c r="V70" s="486"/>
      <c r="W70" s="486"/>
      <c r="X70" s="486"/>
      <c r="Y70" s="486"/>
      <c r="Z70" s="486"/>
      <c r="AA70" s="486"/>
      <c r="AB70" s="486"/>
      <c r="AC70" s="486"/>
      <c r="AD70" s="486"/>
      <c r="AE70" s="486"/>
      <c r="AF70" s="486"/>
      <c r="AG70" s="486"/>
      <c r="AH70" s="486"/>
      <c r="AI70" s="486"/>
      <c r="AJ70" s="486"/>
      <c r="AK70" s="486"/>
      <c r="AL70" s="486"/>
      <c r="AM70" s="486"/>
      <c r="AN70" s="486"/>
    </row>
    <row r="71" spans="2:40" x14ac:dyDescent="0.2">
      <c r="B71" s="456" t="s">
        <v>906</v>
      </c>
      <c r="C71" s="485"/>
      <c r="D71" s="485"/>
      <c r="E71" s="486"/>
      <c r="F71" s="486"/>
      <c r="G71" s="486"/>
      <c r="H71" s="486"/>
      <c r="I71" s="486"/>
      <c r="J71" s="486"/>
      <c r="K71" s="486"/>
      <c r="L71" s="486"/>
      <c r="M71" s="486"/>
      <c r="N71" s="486"/>
      <c r="O71" s="486"/>
      <c r="P71" s="486"/>
      <c r="Q71" s="486"/>
      <c r="R71" s="486"/>
      <c r="S71" s="486"/>
      <c r="T71" s="486"/>
      <c r="U71" s="486"/>
      <c r="V71" s="486"/>
      <c r="W71" s="486"/>
      <c r="X71" s="486"/>
      <c r="Y71" s="486"/>
      <c r="Z71" s="486"/>
      <c r="AA71" s="486"/>
      <c r="AB71" s="486"/>
      <c r="AC71" s="486"/>
      <c r="AD71" s="486"/>
      <c r="AE71" s="486"/>
      <c r="AF71" s="486"/>
      <c r="AG71" s="486"/>
      <c r="AH71" s="486"/>
      <c r="AI71" s="486"/>
      <c r="AJ71" s="486"/>
      <c r="AK71" s="486"/>
      <c r="AL71" s="486"/>
      <c r="AM71" s="486"/>
      <c r="AN71" s="486"/>
    </row>
    <row r="73" spans="2:40" x14ac:dyDescent="0.2">
      <c r="B73" s="457" t="s">
        <v>907</v>
      </c>
      <c r="C73" s="457">
        <f>C$2</f>
        <v>1998</v>
      </c>
      <c r="D73" s="457">
        <f t="shared" ref="D73:AN73" si="7">D$2</f>
        <v>1999</v>
      </c>
      <c r="E73" s="457">
        <f t="shared" si="7"/>
        <v>2000</v>
      </c>
      <c r="F73" s="457">
        <f t="shared" si="7"/>
        <v>2001</v>
      </c>
      <c r="G73" s="457">
        <f t="shared" si="7"/>
        <v>2002</v>
      </c>
      <c r="H73" s="457">
        <f t="shared" si="7"/>
        <v>2003</v>
      </c>
      <c r="I73" s="457">
        <f t="shared" si="7"/>
        <v>2004</v>
      </c>
      <c r="J73" s="457">
        <f t="shared" si="7"/>
        <v>2005</v>
      </c>
      <c r="K73" s="457">
        <f t="shared" si="7"/>
        <v>2006</v>
      </c>
      <c r="L73" s="457">
        <f t="shared" si="7"/>
        <v>2007</v>
      </c>
      <c r="M73" s="457">
        <f t="shared" si="7"/>
        <v>2008</v>
      </c>
      <c r="N73" s="457">
        <f t="shared" si="7"/>
        <v>2009</v>
      </c>
      <c r="O73" s="457">
        <f t="shared" si="7"/>
        <v>2010</v>
      </c>
      <c r="P73" s="457">
        <f t="shared" si="7"/>
        <v>2011</v>
      </c>
      <c r="Q73" s="457">
        <f t="shared" si="7"/>
        <v>2012</v>
      </c>
      <c r="R73" s="457">
        <f t="shared" si="7"/>
        <v>2013</v>
      </c>
      <c r="S73" s="457">
        <f t="shared" si="7"/>
        <v>2014</v>
      </c>
      <c r="T73" s="457">
        <f t="shared" si="7"/>
        <v>2015</v>
      </c>
      <c r="U73" s="457">
        <f t="shared" si="7"/>
        <v>2016</v>
      </c>
      <c r="V73" s="457">
        <f t="shared" si="7"/>
        <v>2017</v>
      </c>
      <c r="W73" s="457">
        <f t="shared" si="7"/>
        <v>2018</v>
      </c>
      <c r="X73" s="457">
        <f t="shared" si="7"/>
        <v>2019</v>
      </c>
      <c r="Y73" s="457">
        <f t="shared" si="7"/>
        <v>2020</v>
      </c>
      <c r="Z73" s="457">
        <f t="shared" si="7"/>
        <v>2021</v>
      </c>
      <c r="AA73" s="457">
        <f t="shared" si="7"/>
        <v>2022</v>
      </c>
      <c r="AB73" s="457">
        <f t="shared" si="7"/>
        <v>2023</v>
      </c>
      <c r="AC73" s="457">
        <f t="shared" si="7"/>
        <v>2024</v>
      </c>
      <c r="AD73" s="457">
        <f t="shared" si="7"/>
        <v>2025</v>
      </c>
      <c r="AE73" s="457">
        <f t="shared" si="7"/>
        <v>2026</v>
      </c>
      <c r="AF73" s="457">
        <f t="shared" si="7"/>
        <v>2027</v>
      </c>
      <c r="AG73" s="457">
        <f t="shared" si="7"/>
        <v>2028</v>
      </c>
      <c r="AH73" s="457">
        <f t="shared" si="7"/>
        <v>2029</v>
      </c>
      <c r="AI73" s="457">
        <f t="shared" si="7"/>
        <v>2030</v>
      </c>
      <c r="AJ73" s="457">
        <f t="shared" si="7"/>
        <v>2031</v>
      </c>
      <c r="AK73" s="457">
        <f t="shared" si="7"/>
        <v>2032</v>
      </c>
      <c r="AL73" s="457">
        <f t="shared" si="7"/>
        <v>2033</v>
      </c>
      <c r="AM73" s="457">
        <f t="shared" si="7"/>
        <v>2034</v>
      </c>
      <c r="AN73" s="457">
        <f t="shared" si="7"/>
        <v>2035</v>
      </c>
    </row>
    <row r="74" spans="2:40" x14ac:dyDescent="0.2">
      <c r="B74" s="464" t="s">
        <v>908</v>
      </c>
      <c r="C74" s="465"/>
      <c r="D74" s="465"/>
      <c r="E74" s="463"/>
      <c r="F74" s="463"/>
      <c r="G74" s="463"/>
      <c r="H74" s="463"/>
      <c r="I74" s="463"/>
      <c r="J74" s="463"/>
      <c r="K74" s="463"/>
      <c r="L74" s="463"/>
      <c r="M74" s="463"/>
      <c r="N74" s="463"/>
      <c r="O74" s="463"/>
      <c r="P74" s="463"/>
      <c r="Q74" s="463"/>
      <c r="R74" s="463"/>
      <c r="S74" s="463"/>
      <c r="T74" s="463"/>
      <c r="U74" s="463"/>
      <c r="V74" s="463"/>
      <c r="W74" s="463"/>
      <c r="X74" s="463"/>
      <c r="Y74" s="463"/>
      <c r="Z74" s="463"/>
      <c r="AA74" s="463"/>
      <c r="AB74" s="463"/>
      <c r="AC74" s="463"/>
      <c r="AD74" s="463"/>
      <c r="AE74" s="463"/>
      <c r="AF74" s="463"/>
      <c r="AG74" s="463"/>
      <c r="AH74" s="463"/>
      <c r="AI74" s="463"/>
      <c r="AJ74" s="463"/>
      <c r="AK74" s="463"/>
      <c r="AL74" s="463"/>
      <c r="AM74" s="463"/>
      <c r="AN74" s="463"/>
    </row>
    <row r="75" spans="2:40" x14ac:dyDescent="0.2">
      <c r="B75" s="464" t="s">
        <v>909</v>
      </c>
      <c r="C75" s="465"/>
      <c r="D75" s="465"/>
      <c r="E75" s="463"/>
      <c r="F75" s="463"/>
      <c r="G75" s="463"/>
      <c r="H75" s="463"/>
      <c r="I75" s="463"/>
      <c r="J75" s="463"/>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463"/>
      <c r="AK75" s="463"/>
      <c r="AL75" s="463"/>
      <c r="AM75" s="463"/>
      <c r="AN75" s="463"/>
    </row>
    <row r="76" spans="2:40" x14ac:dyDescent="0.2">
      <c r="B76" s="464" t="s">
        <v>910</v>
      </c>
      <c r="C76" s="465"/>
      <c r="D76" s="465"/>
      <c r="E76" s="463"/>
      <c r="F76" s="463"/>
      <c r="G76" s="463"/>
      <c r="H76" s="463"/>
      <c r="I76" s="463"/>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463"/>
      <c r="AK76" s="463"/>
      <c r="AL76" s="463"/>
      <c r="AM76" s="463"/>
      <c r="AN76" s="463"/>
    </row>
    <row r="77" spans="2:40" x14ac:dyDescent="0.2">
      <c r="B77" s="464" t="s">
        <v>911</v>
      </c>
      <c r="C77" s="465"/>
      <c r="D77" s="465"/>
      <c r="E77" s="463"/>
      <c r="F77" s="463"/>
      <c r="G77" s="463"/>
      <c r="H77" s="463"/>
      <c r="I77" s="463"/>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463"/>
      <c r="AK77" s="463"/>
      <c r="AL77" s="463"/>
      <c r="AM77" s="463"/>
      <c r="AN77" s="463"/>
    </row>
    <row r="78" spans="2:40" x14ac:dyDescent="0.2">
      <c r="B78" s="464" t="s">
        <v>912</v>
      </c>
      <c r="C78" s="465"/>
      <c r="D78" s="465"/>
      <c r="E78" s="463"/>
      <c r="F78" s="463"/>
      <c r="G78" s="463"/>
      <c r="H78" s="463"/>
      <c r="I78" s="463"/>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463"/>
      <c r="AK78" s="463"/>
      <c r="AL78" s="463"/>
      <c r="AM78" s="463"/>
      <c r="AN78" s="463"/>
    </row>
    <row r="79" spans="2:40" x14ac:dyDescent="0.2">
      <c r="B79" s="464" t="s">
        <v>913</v>
      </c>
      <c r="C79" s="465"/>
      <c r="D79" s="465"/>
      <c r="E79" s="463"/>
      <c r="F79" s="463"/>
      <c r="G79" s="463"/>
      <c r="H79" s="463"/>
      <c r="I79" s="463"/>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row>
    <row r="80" spans="2:40" x14ac:dyDescent="0.2">
      <c r="B80" s="464" t="s">
        <v>914</v>
      </c>
      <c r="C80" s="465"/>
      <c r="D80" s="465"/>
      <c r="E80" s="463"/>
      <c r="F80" s="463"/>
      <c r="G80" s="463"/>
      <c r="H80" s="463"/>
      <c r="I80" s="463"/>
      <c r="J80" s="463"/>
      <c r="K80" s="463"/>
      <c r="L80" s="463"/>
      <c r="M80" s="463"/>
      <c r="N80" s="463"/>
      <c r="O80" s="463"/>
      <c r="P80" s="463"/>
      <c r="Q80" s="463"/>
      <c r="R80" s="463"/>
      <c r="S80" s="463"/>
      <c r="T80" s="463"/>
      <c r="U80" s="463"/>
      <c r="V80" s="463"/>
      <c r="W80" s="463"/>
      <c r="X80" s="463"/>
      <c r="Y80" s="463"/>
      <c r="Z80" s="463"/>
      <c r="AA80" s="463"/>
      <c r="AB80" s="463"/>
      <c r="AC80" s="463"/>
      <c r="AD80" s="463"/>
      <c r="AE80" s="463"/>
      <c r="AF80" s="463"/>
      <c r="AG80" s="463"/>
      <c r="AH80" s="463"/>
      <c r="AI80" s="463"/>
      <c r="AJ80" s="463"/>
      <c r="AK80" s="463"/>
      <c r="AL80" s="463"/>
      <c r="AM80" s="463"/>
      <c r="AN80" s="463"/>
    </row>
    <row r="81" spans="2:40" x14ac:dyDescent="0.2">
      <c r="B81" s="464" t="s">
        <v>915</v>
      </c>
      <c r="C81" s="465"/>
      <c r="D81" s="465"/>
      <c r="E81" s="463"/>
      <c r="F81" s="463"/>
      <c r="G81" s="463"/>
      <c r="H81" s="463"/>
      <c r="I81" s="463"/>
      <c r="J81" s="463"/>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row>
    <row r="82" spans="2:40" x14ac:dyDescent="0.2">
      <c r="B82" s="464" t="s">
        <v>916</v>
      </c>
      <c r="C82" s="465"/>
      <c r="D82" s="465"/>
      <c r="E82" s="463"/>
      <c r="F82" s="463"/>
      <c r="G82" s="463"/>
      <c r="H82" s="463"/>
      <c r="I82" s="463"/>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row>
    <row r="83" spans="2:40" x14ac:dyDescent="0.2">
      <c r="B83" s="464" t="s">
        <v>917</v>
      </c>
      <c r="C83" s="465"/>
      <c r="D83" s="465"/>
      <c r="E83" s="463"/>
      <c r="F83" s="463"/>
      <c r="G83" s="463"/>
      <c r="H83" s="463"/>
      <c r="I83" s="463"/>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row>
    <row r="84" spans="2:40" x14ac:dyDescent="0.2">
      <c r="B84" s="464" t="s">
        <v>918</v>
      </c>
      <c r="C84" s="465"/>
      <c r="D84" s="465"/>
      <c r="E84" s="463"/>
      <c r="F84" s="463"/>
      <c r="G84" s="463"/>
      <c r="H84" s="463"/>
      <c r="I84" s="463"/>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row>
    <row r="85" spans="2:40" x14ac:dyDescent="0.2">
      <c r="B85" s="464" t="s">
        <v>273</v>
      </c>
      <c r="C85" s="465"/>
      <c r="D85" s="465"/>
      <c r="E85" s="463"/>
      <c r="F85" s="463"/>
      <c r="G85" s="463"/>
      <c r="H85" s="463"/>
      <c r="I85" s="463"/>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row>
    <row r="86" spans="2:40" x14ac:dyDescent="0.2">
      <c r="B86" s="464" t="s">
        <v>919</v>
      </c>
      <c r="C86" s="465"/>
      <c r="D86" s="465"/>
      <c r="E86" s="463"/>
      <c r="F86" s="463"/>
      <c r="G86" s="463"/>
      <c r="H86" s="463"/>
      <c r="I86" s="463"/>
      <c r="J86" s="463"/>
      <c r="K86" s="463"/>
      <c r="L86" s="463"/>
      <c r="M86" s="463"/>
      <c r="N86" s="463"/>
      <c r="O86" s="463"/>
      <c r="P86" s="463"/>
      <c r="Q86" s="463"/>
      <c r="R86" s="463"/>
      <c r="S86" s="463"/>
      <c r="T86" s="463"/>
      <c r="U86" s="463"/>
      <c r="V86" s="463"/>
      <c r="W86" s="463"/>
      <c r="X86" s="463"/>
      <c r="Y86" s="463"/>
      <c r="Z86" s="463"/>
      <c r="AA86" s="463"/>
      <c r="AB86" s="463"/>
      <c r="AC86" s="463"/>
      <c r="AD86" s="463"/>
      <c r="AE86" s="463"/>
      <c r="AF86" s="463"/>
      <c r="AG86" s="463"/>
      <c r="AH86" s="463"/>
      <c r="AI86" s="463"/>
      <c r="AJ86" s="463"/>
      <c r="AK86" s="463"/>
      <c r="AL86" s="463"/>
      <c r="AM86" s="463"/>
      <c r="AN86" s="463"/>
    </row>
    <row r="87" spans="2:40" x14ac:dyDescent="0.2">
      <c r="B87" s="464" t="s">
        <v>272</v>
      </c>
      <c r="C87" s="465"/>
      <c r="D87" s="465"/>
      <c r="E87" s="463"/>
      <c r="F87" s="463"/>
      <c r="G87" s="463"/>
      <c r="H87" s="463"/>
      <c r="I87" s="463"/>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3"/>
      <c r="AL87" s="463"/>
      <c r="AM87" s="463"/>
      <c r="AN87" s="463"/>
    </row>
    <row r="88" spans="2:40" x14ac:dyDescent="0.2">
      <c r="B88" s="464" t="s">
        <v>920</v>
      </c>
      <c r="C88" s="465"/>
      <c r="D88" s="465"/>
      <c r="E88" s="463"/>
      <c r="F88" s="463"/>
      <c r="G88" s="463"/>
      <c r="H88" s="463"/>
      <c r="I88" s="463"/>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463"/>
      <c r="AK88" s="463"/>
      <c r="AL88" s="463"/>
      <c r="AM88" s="463"/>
      <c r="AN88" s="463"/>
    </row>
    <row r="89" spans="2:40" x14ac:dyDescent="0.2">
      <c r="B89" s="464" t="s">
        <v>255</v>
      </c>
      <c r="C89" s="465"/>
      <c r="D89" s="465"/>
      <c r="E89" s="463"/>
      <c r="F89" s="463"/>
      <c r="G89" s="463"/>
      <c r="H89" s="463"/>
      <c r="I89" s="463"/>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463"/>
      <c r="AK89" s="463"/>
      <c r="AL89" s="463"/>
      <c r="AM89" s="463"/>
      <c r="AN89" s="463"/>
    </row>
    <row r="90" spans="2:40" x14ac:dyDescent="0.2">
      <c r="B90" s="464" t="s">
        <v>124</v>
      </c>
      <c r="C90" s="465"/>
      <c r="D90" s="465"/>
      <c r="E90" s="463"/>
      <c r="F90" s="463"/>
      <c r="G90" s="463"/>
      <c r="H90" s="463"/>
      <c r="I90" s="463"/>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463"/>
      <c r="AK90" s="463"/>
      <c r="AL90" s="463"/>
      <c r="AM90" s="463"/>
      <c r="AN90" s="463"/>
    </row>
    <row r="91" spans="2:40" x14ac:dyDescent="0.2">
      <c r="B91" s="464" t="s">
        <v>921</v>
      </c>
      <c r="C91" s="465"/>
      <c r="D91" s="465"/>
      <c r="E91" s="463"/>
      <c r="F91" s="463"/>
      <c r="G91" s="463"/>
      <c r="H91" s="463"/>
      <c r="I91" s="463"/>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463"/>
      <c r="AK91" s="463"/>
      <c r="AL91" s="463"/>
      <c r="AM91" s="463"/>
      <c r="AN91" s="463"/>
    </row>
    <row r="92" spans="2:40" x14ac:dyDescent="0.2">
      <c r="B92" s="464" t="s">
        <v>922</v>
      </c>
      <c r="C92" s="465"/>
      <c r="D92" s="465"/>
      <c r="E92" s="463"/>
      <c r="F92" s="463"/>
      <c r="G92" s="463"/>
      <c r="H92" s="463"/>
      <c r="I92" s="463"/>
      <c r="J92" s="463"/>
      <c r="K92" s="463"/>
      <c r="L92" s="463"/>
      <c r="M92" s="463"/>
      <c r="N92" s="463"/>
      <c r="O92" s="463"/>
      <c r="P92" s="463"/>
      <c r="Q92" s="463"/>
      <c r="R92" s="463"/>
      <c r="S92" s="463"/>
      <c r="T92" s="463"/>
      <c r="U92" s="463"/>
      <c r="V92" s="463"/>
      <c r="W92" s="463"/>
      <c r="X92" s="463"/>
      <c r="Y92" s="463"/>
      <c r="Z92" s="463"/>
      <c r="AA92" s="463"/>
      <c r="AB92" s="463"/>
      <c r="AC92" s="463"/>
      <c r="AD92" s="463"/>
      <c r="AE92" s="463"/>
      <c r="AF92" s="463"/>
      <c r="AG92" s="463"/>
      <c r="AH92" s="463"/>
      <c r="AI92" s="463"/>
      <c r="AJ92" s="463"/>
      <c r="AK92" s="463"/>
      <c r="AL92" s="463"/>
      <c r="AM92" s="463"/>
      <c r="AN92" s="463"/>
    </row>
    <row r="93" spans="2:40" x14ac:dyDescent="0.2">
      <c r="B93" s="464" t="s">
        <v>923</v>
      </c>
      <c r="C93" s="465"/>
      <c r="D93" s="465"/>
      <c r="E93" s="463"/>
      <c r="F93" s="463"/>
      <c r="G93" s="463"/>
      <c r="H93" s="463"/>
      <c r="I93" s="463"/>
      <c r="J93" s="463"/>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463"/>
      <c r="AK93" s="463"/>
      <c r="AL93" s="463"/>
      <c r="AM93" s="463"/>
      <c r="AN93" s="463"/>
    </row>
    <row r="94" spans="2:40" x14ac:dyDescent="0.2">
      <c r="B94" s="464" t="s">
        <v>924</v>
      </c>
      <c r="C94" s="465"/>
      <c r="D94" s="465"/>
      <c r="E94" s="463"/>
      <c r="F94" s="463"/>
      <c r="G94" s="463"/>
      <c r="H94" s="463"/>
      <c r="I94" s="463"/>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463"/>
      <c r="AK94" s="463"/>
      <c r="AL94" s="463"/>
      <c r="AM94" s="463"/>
      <c r="AN94" s="463"/>
    </row>
    <row r="95" spans="2:40" x14ac:dyDescent="0.2">
      <c r="B95" s="464" t="s">
        <v>925</v>
      </c>
      <c r="C95" s="465"/>
      <c r="D95" s="465"/>
      <c r="E95" s="463"/>
      <c r="F95" s="463"/>
      <c r="G95" s="463"/>
      <c r="H95" s="463"/>
      <c r="I95" s="463"/>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463"/>
      <c r="AK95" s="463"/>
      <c r="AL95" s="463"/>
      <c r="AM95" s="463"/>
      <c r="AN95" s="463"/>
    </row>
    <row r="96" spans="2:40" x14ac:dyDescent="0.2">
      <c r="B96" s="464" t="s">
        <v>926</v>
      </c>
      <c r="C96" s="465"/>
      <c r="D96" s="465"/>
      <c r="E96" s="463"/>
      <c r="F96" s="463"/>
      <c r="G96" s="463"/>
      <c r="H96" s="463"/>
      <c r="I96" s="463"/>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463"/>
      <c r="AK96" s="463"/>
      <c r="AL96" s="463"/>
      <c r="AM96" s="463"/>
      <c r="AN96" s="463"/>
    </row>
    <row r="97" spans="2:40" x14ac:dyDescent="0.2">
      <c r="B97" s="464" t="s">
        <v>927</v>
      </c>
      <c r="C97" s="465"/>
      <c r="D97" s="465"/>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463"/>
      <c r="AK97" s="463"/>
      <c r="AL97" s="463"/>
      <c r="AM97" s="463"/>
      <c r="AN97" s="463"/>
    </row>
    <row r="98" spans="2:40" x14ac:dyDescent="0.2">
      <c r="B98" s="464" t="s">
        <v>928</v>
      </c>
      <c r="C98" s="465"/>
      <c r="D98" s="465"/>
      <c r="E98" s="463"/>
      <c r="F98" s="463"/>
      <c r="G98" s="463"/>
      <c r="H98" s="463"/>
      <c r="I98" s="463"/>
      <c r="J98" s="463"/>
      <c r="K98" s="463"/>
      <c r="L98" s="463"/>
      <c r="M98" s="463"/>
      <c r="N98" s="463"/>
      <c r="O98" s="463"/>
      <c r="P98" s="463"/>
      <c r="Q98" s="463"/>
      <c r="R98" s="463"/>
      <c r="S98" s="463"/>
      <c r="T98" s="463"/>
      <c r="U98" s="463"/>
      <c r="V98" s="463"/>
      <c r="W98" s="463"/>
      <c r="X98" s="463"/>
      <c r="Y98" s="463"/>
      <c r="Z98" s="463"/>
      <c r="AA98" s="463"/>
      <c r="AB98" s="463"/>
      <c r="AC98" s="463"/>
      <c r="AD98" s="463"/>
      <c r="AE98" s="463"/>
      <c r="AF98" s="463"/>
      <c r="AG98" s="463"/>
      <c r="AH98" s="463"/>
      <c r="AI98" s="463"/>
      <c r="AJ98" s="463"/>
      <c r="AK98" s="463"/>
      <c r="AL98" s="463"/>
      <c r="AM98" s="463"/>
      <c r="AN98" s="463"/>
    </row>
    <row r="99" spans="2:40" x14ac:dyDescent="0.2">
      <c r="B99" s="464" t="s">
        <v>112</v>
      </c>
      <c r="C99" s="465"/>
      <c r="D99" s="465"/>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463"/>
      <c r="AK99" s="463"/>
      <c r="AL99" s="463"/>
      <c r="AM99" s="463"/>
      <c r="AN99" s="463"/>
    </row>
    <row r="100" spans="2:40" x14ac:dyDescent="0.2">
      <c r="B100" s="464" t="s">
        <v>929</v>
      </c>
      <c r="C100" s="465"/>
      <c r="D100" s="465"/>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463"/>
      <c r="AK100" s="463"/>
      <c r="AL100" s="463"/>
      <c r="AM100" s="463"/>
      <c r="AN100" s="463"/>
    </row>
    <row r="101" spans="2:40" x14ac:dyDescent="0.2">
      <c r="B101" s="464" t="s">
        <v>930</v>
      </c>
      <c r="C101" s="465"/>
      <c r="D101" s="465"/>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463"/>
      <c r="AK101" s="463"/>
      <c r="AL101" s="463"/>
      <c r="AM101" s="463"/>
      <c r="AN101" s="463"/>
    </row>
    <row r="102" spans="2:40" x14ac:dyDescent="0.2">
      <c r="B102" s="464" t="s">
        <v>931</v>
      </c>
      <c r="C102" s="465"/>
      <c r="D102" s="465"/>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463"/>
      <c r="AK102" s="463"/>
      <c r="AL102" s="463"/>
      <c r="AM102" s="463"/>
      <c r="AN102" s="463"/>
    </row>
    <row r="103" spans="2:40" x14ac:dyDescent="0.2">
      <c r="B103" s="464" t="s">
        <v>932</v>
      </c>
      <c r="C103" s="465"/>
      <c r="D103" s="465"/>
      <c r="E103" s="463"/>
      <c r="F103" s="463"/>
      <c r="G103" s="463"/>
      <c r="H103" s="463"/>
      <c r="I103" s="463"/>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463"/>
      <c r="AK103" s="463"/>
      <c r="AL103" s="463"/>
      <c r="AM103" s="463"/>
      <c r="AN103" s="463"/>
    </row>
    <row r="104" spans="2:40" x14ac:dyDescent="0.2">
      <c r="B104" s="464" t="s">
        <v>933</v>
      </c>
      <c r="C104" s="465"/>
      <c r="D104" s="465"/>
      <c r="E104" s="463"/>
      <c r="F104" s="463"/>
      <c r="G104" s="463"/>
      <c r="H104" s="463"/>
      <c r="I104" s="463"/>
      <c r="J104" s="463"/>
      <c r="K104" s="463"/>
      <c r="L104" s="463"/>
      <c r="M104" s="463"/>
      <c r="N104" s="463"/>
      <c r="O104" s="463"/>
      <c r="P104" s="463"/>
      <c r="Q104" s="463"/>
      <c r="R104" s="463"/>
      <c r="S104" s="463"/>
      <c r="T104" s="463"/>
      <c r="U104" s="463"/>
      <c r="V104" s="463"/>
      <c r="W104" s="463"/>
      <c r="X104" s="463"/>
      <c r="Y104" s="463"/>
      <c r="Z104" s="463"/>
      <c r="AA104" s="463"/>
      <c r="AB104" s="463"/>
      <c r="AC104" s="463"/>
      <c r="AD104" s="463"/>
      <c r="AE104" s="463"/>
      <c r="AF104" s="463"/>
      <c r="AG104" s="463"/>
      <c r="AH104" s="463"/>
      <c r="AI104" s="463"/>
      <c r="AJ104" s="463"/>
      <c r="AK104" s="463"/>
      <c r="AL104" s="463"/>
      <c r="AM104" s="463"/>
      <c r="AN104" s="463"/>
    </row>
    <row r="105" spans="2:40" x14ac:dyDescent="0.2">
      <c r="B105" s="464" t="s">
        <v>934</v>
      </c>
      <c r="C105" s="465"/>
      <c r="D105" s="465"/>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463"/>
      <c r="AK105" s="463"/>
      <c r="AL105" s="463"/>
      <c r="AM105" s="463"/>
      <c r="AN105" s="463"/>
    </row>
    <row r="106" spans="2:40" x14ac:dyDescent="0.2">
      <c r="B106" s="464" t="s">
        <v>935</v>
      </c>
      <c r="C106" s="465"/>
      <c r="D106" s="465"/>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463"/>
      <c r="AK106" s="463"/>
      <c r="AL106" s="463"/>
      <c r="AM106" s="463"/>
      <c r="AN106" s="463"/>
    </row>
    <row r="107" spans="2:40" x14ac:dyDescent="0.2">
      <c r="B107" s="464" t="s">
        <v>936</v>
      </c>
      <c r="C107" s="465"/>
      <c r="D107" s="465"/>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463"/>
      <c r="AK107" s="463"/>
      <c r="AL107" s="463"/>
      <c r="AM107" s="463"/>
      <c r="AN107" s="463"/>
    </row>
    <row r="108" spans="2:40" x14ac:dyDescent="0.2">
      <c r="B108" s="464" t="s">
        <v>28</v>
      </c>
      <c r="C108" s="465"/>
      <c r="D108" s="465"/>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463"/>
      <c r="AK108" s="463"/>
      <c r="AL108" s="463"/>
      <c r="AM108" s="463"/>
      <c r="AN108" s="463"/>
    </row>
    <row r="109" spans="2:40" x14ac:dyDescent="0.2">
      <c r="B109" s="466"/>
      <c r="C109" s="466"/>
      <c r="D109" s="466"/>
    </row>
    <row r="110" spans="2:40" x14ac:dyDescent="0.2">
      <c r="B110" s="457" t="s">
        <v>937</v>
      </c>
      <c r="C110" s="457">
        <f>C$2</f>
        <v>1998</v>
      </c>
      <c r="D110" s="457">
        <f t="shared" ref="D110:AN110" si="8">D$2</f>
        <v>1999</v>
      </c>
      <c r="E110" s="457">
        <f t="shared" si="8"/>
        <v>2000</v>
      </c>
      <c r="F110" s="457">
        <f t="shared" si="8"/>
        <v>2001</v>
      </c>
      <c r="G110" s="457">
        <f t="shared" si="8"/>
        <v>2002</v>
      </c>
      <c r="H110" s="457">
        <f t="shared" si="8"/>
        <v>2003</v>
      </c>
      <c r="I110" s="457">
        <f t="shared" si="8"/>
        <v>2004</v>
      </c>
      <c r="J110" s="457">
        <f t="shared" si="8"/>
        <v>2005</v>
      </c>
      <c r="K110" s="457">
        <f t="shared" si="8"/>
        <v>2006</v>
      </c>
      <c r="L110" s="457">
        <f t="shared" si="8"/>
        <v>2007</v>
      </c>
      <c r="M110" s="457">
        <f t="shared" si="8"/>
        <v>2008</v>
      </c>
      <c r="N110" s="457">
        <f t="shared" si="8"/>
        <v>2009</v>
      </c>
      <c r="O110" s="457">
        <f t="shared" si="8"/>
        <v>2010</v>
      </c>
      <c r="P110" s="457">
        <f t="shared" si="8"/>
        <v>2011</v>
      </c>
      <c r="Q110" s="457">
        <f t="shared" si="8"/>
        <v>2012</v>
      </c>
      <c r="R110" s="457">
        <f t="shared" si="8"/>
        <v>2013</v>
      </c>
      <c r="S110" s="457">
        <f t="shared" si="8"/>
        <v>2014</v>
      </c>
      <c r="T110" s="457">
        <f t="shared" si="8"/>
        <v>2015</v>
      </c>
      <c r="U110" s="457">
        <f t="shared" si="8"/>
        <v>2016</v>
      </c>
      <c r="V110" s="457">
        <f t="shared" si="8"/>
        <v>2017</v>
      </c>
      <c r="W110" s="457">
        <f t="shared" si="8"/>
        <v>2018</v>
      </c>
      <c r="X110" s="457">
        <f t="shared" si="8"/>
        <v>2019</v>
      </c>
      <c r="Y110" s="457">
        <f t="shared" si="8"/>
        <v>2020</v>
      </c>
      <c r="Z110" s="457">
        <f t="shared" si="8"/>
        <v>2021</v>
      </c>
      <c r="AA110" s="457">
        <f t="shared" si="8"/>
        <v>2022</v>
      </c>
      <c r="AB110" s="457">
        <f t="shared" si="8"/>
        <v>2023</v>
      </c>
      <c r="AC110" s="457">
        <f t="shared" si="8"/>
        <v>2024</v>
      </c>
      <c r="AD110" s="457">
        <f t="shared" si="8"/>
        <v>2025</v>
      </c>
      <c r="AE110" s="457">
        <f t="shared" si="8"/>
        <v>2026</v>
      </c>
      <c r="AF110" s="457">
        <f t="shared" si="8"/>
        <v>2027</v>
      </c>
      <c r="AG110" s="457">
        <f t="shared" si="8"/>
        <v>2028</v>
      </c>
      <c r="AH110" s="457">
        <f t="shared" si="8"/>
        <v>2029</v>
      </c>
      <c r="AI110" s="457">
        <f t="shared" si="8"/>
        <v>2030</v>
      </c>
      <c r="AJ110" s="457">
        <f t="shared" si="8"/>
        <v>2031</v>
      </c>
      <c r="AK110" s="457">
        <f t="shared" si="8"/>
        <v>2032</v>
      </c>
      <c r="AL110" s="457">
        <f t="shared" si="8"/>
        <v>2033</v>
      </c>
      <c r="AM110" s="457">
        <f t="shared" si="8"/>
        <v>2034</v>
      </c>
      <c r="AN110" s="457">
        <f t="shared" si="8"/>
        <v>2035</v>
      </c>
    </row>
    <row r="111" spans="2:40" x14ac:dyDescent="0.2">
      <c r="B111" s="458" t="s">
        <v>124</v>
      </c>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f>Model!I814</f>
        <v>515</v>
      </c>
      <c r="AD111" s="485">
        <f>Model!J814</f>
        <v>547.65010666301589</v>
      </c>
      <c r="AE111" s="485">
        <f>Model!K814</f>
        <v>578.13719057715707</v>
      </c>
      <c r="AF111" s="485">
        <f>Model!L814</f>
        <v>604.69953336051503</v>
      </c>
      <c r="AG111" s="485">
        <f>Model!M814</f>
        <v>633.00867897290664</v>
      </c>
      <c r="AH111" s="485">
        <f>Model!N814</f>
        <v>656.55213680794304</v>
      </c>
      <c r="AI111" s="485">
        <f>Model!O814</f>
        <v>683.6012785845636</v>
      </c>
      <c r="AJ111" s="485">
        <f>Model!P814</f>
        <v>717.57000555555305</v>
      </c>
      <c r="AK111" s="485">
        <f>Model!Q814</f>
        <v>753.09597133815851</v>
      </c>
      <c r="AL111" s="485">
        <f>Model!R814</f>
        <v>789.90272642346849</v>
      </c>
      <c r="AM111" s="485">
        <f>Model!S814</f>
        <v>828.01657399953524</v>
      </c>
      <c r="AN111" s="485">
        <f>Model!T814</f>
        <v>867.82060766667269</v>
      </c>
    </row>
    <row r="112" spans="2:40" x14ac:dyDescent="0.2">
      <c r="B112" s="458" t="s">
        <v>362</v>
      </c>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f>Model!I815</f>
        <v>39</v>
      </c>
      <c r="AD112" s="485">
        <f>Model!J815</f>
        <v>45.047882674005649</v>
      </c>
      <c r="AE112" s="485">
        <f>Model!K815</f>
        <v>27.617278930206599</v>
      </c>
      <c r="AF112" s="485">
        <f>Model!L815</f>
        <v>28.826156413259049</v>
      </c>
      <c r="AG112" s="485">
        <f>Model!M815</f>
        <v>25.399728485135164</v>
      </c>
      <c r="AH112" s="485">
        <f>Model!N815</f>
        <v>19.05113265209928</v>
      </c>
      <c r="AI112" s="485">
        <f>Model!O815</f>
        <v>18.379641401072675</v>
      </c>
      <c r="AJ112" s="485">
        <f>Model!P815</f>
        <v>15.5692268430947</v>
      </c>
      <c r="AK112" s="485">
        <f>Model!Q815</f>
        <v>16.282971703996367</v>
      </c>
      <c r="AL112" s="485">
        <f>Model!R815</f>
        <v>16.87000869272579</v>
      </c>
      <c r="AM112" s="485">
        <f>Model!S815</f>
        <v>17.46910148507196</v>
      </c>
      <c r="AN112" s="485">
        <f>Model!T815</f>
        <v>18.243781404086732</v>
      </c>
    </row>
    <row r="113" spans="1:40" x14ac:dyDescent="0.2">
      <c r="B113" s="458" t="s">
        <v>381</v>
      </c>
      <c r="C113" s="485"/>
      <c r="D113" s="485"/>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485"/>
      <c r="AB113" s="485"/>
      <c r="AC113" s="485">
        <f>Model!I816</f>
        <v>-64</v>
      </c>
      <c r="AD113" s="485">
        <f>Model!J816</f>
        <v>-67.309050377070932</v>
      </c>
      <c r="AE113" s="485">
        <f>Model!K816</f>
        <v>-77.52865012593621</v>
      </c>
      <c r="AF113" s="485">
        <f>Model!L816</f>
        <v>-81.368596029325474</v>
      </c>
      <c r="AG113" s="485">
        <f>Model!M816</f>
        <v>-86.750162132995939</v>
      </c>
      <c r="AH113" s="485">
        <f>Model!N816</f>
        <v>-92.488056164257472</v>
      </c>
      <c r="AI113" s="485">
        <f>Model!O816</f>
        <v>-96.874862060471216</v>
      </c>
      <c r="AJ113" s="485">
        <f>Model!P816</f>
        <v>-105.90139196422972</v>
      </c>
      <c r="AK113" s="485">
        <f>Model!Q816</f>
        <v>-116.19482938115307</v>
      </c>
      <c r="AL113" s="485">
        <f>Model!R816</f>
        <v>-127.92276554549579</v>
      </c>
      <c r="AM113" s="485">
        <f>Model!S816</f>
        <v>-138.06488962802177</v>
      </c>
      <c r="AN113" s="485">
        <f>Model!T816</f>
        <v>-151.98732035156794</v>
      </c>
    </row>
    <row r="114" spans="1:40" x14ac:dyDescent="0.2">
      <c r="B114" s="458" t="s">
        <v>378</v>
      </c>
      <c r="C114" s="485"/>
      <c r="D114" s="485"/>
      <c r="E114" s="485"/>
      <c r="F114" s="485"/>
      <c r="G114" s="485"/>
      <c r="H114" s="485"/>
      <c r="I114" s="485"/>
      <c r="J114" s="485"/>
      <c r="K114" s="485"/>
      <c r="L114" s="485"/>
      <c r="M114" s="485"/>
      <c r="N114" s="485"/>
      <c r="O114" s="485"/>
      <c r="P114" s="485"/>
      <c r="Q114" s="485"/>
      <c r="R114" s="485"/>
      <c r="S114" s="485"/>
      <c r="T114" s="485"/>
      <c r="U114" s="485"/>
      <c r="V114" s="485"/>
      <c r="W114" s="485"/>
      <c r="X114" s="485"/>
      <c r="Y114" s="485"/>
      <c r="Z114" s="485"/>
      <c r="AA114" s="485"/>
      <c r="AB114" s="485"/>
      <c r="AC114" s="485">
        <f>Model!I817</f>
        <v>-42</v>
      </c>
      <c r="AD114" s="485">
        <f>Model!J817</f>
        <v>-18.199449757631342</v>
      </c>
      <c r="AE114" s="485">
        <f>Model!K817</f>
        <v>31.60374190198392</v>
      </c>
      <c r="AF114" s="485">
        <f>Model!L817</f>
        <v>51.389505163884252</v>
      </c>
      <c r="AG114" s="485">
        <f>Model!M817</f>
        <v>73.389114003806881</v>
      </c>
      <c r="AH114" s="485">
        <f>Model!N817</f>
        <v>98.218036780149845</v>
      </c>
      <c r="AI114" s="485">
        <f>Model!O817</f>
        <v>126.11496061949902</v>
      </c>
      <c r="AJ114" s="485">
        <f>Model!P817</f>
        <v>158.24159734872609</v>
      </c>
      <c r="AK114" s="485">
        <f>Model!Q817</f>
        <v>195.05929463183102</v>
      </c>
      <c r="AL114" s="485">
        <f>Model!R817</f>
        <v>237.42443032256477</v>
      </c>
      <c r="AM114" s="485">
        <f>Model!S817</f>
        <v>285.9162426934347</v>
      </c>
      <c r="AN114" s="485">
        <f>Model!T817</f>
        <v>339.8474216774016</v>
      </c>
    </row>
    <row r="115" spans="1:40" x14ac:dyDescent="0.2">
      <c r="B115" s="458" t="s">
        <v>957</v>
      </c>
      <c r="C115" s="485"/>
      <c r="D115" s="485"/>
      <c r="E115" s="486"/>
      <c r="F115" s="486"/>
      <c r="G115" s="486"/>
      <c r="H115" s="486"/>
      <c r="I115" s="486"/>
      <c r="J115" s="486"/>
      <c r="K115" s="486"/>
      <c r="L115" s="486"/>
      <c r="M115" s="486"/>
      <c r="N115" s="486"/>
      <c r="O115" s="486"/>
      <c r="P115" s="486"/>
      <c r="Q115" s="486"/>
      <c r="R115" s="486"/>
      <c r="S115" s="486"/>
      <c r="T115" s="486"/>
      <c r="U115" s="486"/>
      <c r="V115" s="486"/>
      <c r="W115" s="486"/>
      <c r="X115" s="486"/>
      <c r="Y115" s="486"/>
      <c r="Z115" s="486"/>
      <c r="AA115" s="486"/>
      <c r="AB115" s="486"/>
      <c r="AC115" s="486">
        <f>Model!I818</f>
        <v>1</v>
      </c>
      <c r="AD115" s="486">
        <f>Model!J818</f>
        <v>2.1002847860641971</v>
      </c>
      <c r="AE115" s="486">
        <f>Model!K818</f>
        <v>1.6501342826722478</v>
      </c>
      <c r="AF115" s="486">
        <f>Model!L818</f>
        <v>1.6039758930535761</v>
      </c>
      <c r="AG115" s="486">
        <f>Model!M818</f>
        <v>1.5237143921483707</v>
      </c>
      <c r="AH115" s="486">
        <f>Model!N818</f>
        <v>1.1948680421542903</v>
      </c>
      <c r="AI115" s="486">
        <f>Model!O818</f>
        <v>1.2503480907642164</v>
      </c>
      <c r="AJ115" s="486">
        <f>Model!P818</f>
        <v>1.3080283557733559</v>
      </c>
      <c r="AK115" s="486">
        <f>Model!Q818</f>
        <v>1.3679927025104064</v>
      </c>
      <c r="AL115" s="486">
        <f>Model!R818</f>
        <v>1.4173118520663905</v>
      </c>
      <c r="AM115" s="486">
        <f>Model!S818</f>
        <v>1.4676438542926853</v>
      </c>
      <c r="AN115" s="486">
        <f>Model!T818</f>
        <v>1.5327275807314855</v>
      </c>
    </row>
    <row r="116" spans="1:40" x14ac:dyDescent="0.2">
      <c r="B116" s="458" t="s">
        <v>52</v>
      </c>
      <c r="C116" s="485"/>
      <c r="D116" s="486"/>
      <c r="E116" s="486"/>
      <c r="F116" s="486"/>
      <c r="G116" s="486"/>
      <c r="H116" s="486"/>
      <c r="I116" s="486"/>
      <c r="J116" s="486"/>
      <c r="K116" s="486"/>
      <c r="L116" s="486"/>
      <c r="M116" s="486"/>
      <c r="N116" s="486"/>
      <c r="O116" s="486"/>
      <c r="P116" s="486"/>
      <c r="Q116" s="486"/>
      <c r="R116" s="486"/>
      <c r="S116" s="486"/>
      <c r="T116" s="486"/>
      <c r="U116" s="486"/>
      <c r="V116" s="486"/>
      <c r="W116" s="486"/>
      <c r="X116" s="486"/>
      <c r="Y116" s="486"/>
      <c r="Z116" s="486"/>
      <c r="AA116" s="486"/>
      <c r="AB116" s="486"/>
      <c r="AC116" s="486">
        <f>Model!I819</f>
        <v>113</v>
      </c>
      <c r="AD116" s="486">
        <f>Model!J819</f>
        <v>-11.613339405296145</v>
      </c>
      <c r="AE116" s="486">
        <f>Model!K819</f>
        <v>-9.1242719159524199</v>
      </c>
      <c r="AF116" s="486">
        <f>Model!L819</f>
        <v>-8.869043173355081</v>
      </c>
      <c r="AG116" s="486">
        <f>Model!M819</f>
        <v>-8.4252442859968824</v>
      </c>
      <c r="AH116" s="486">
        <f>Model!N819</f>
        <v>-6.6069174095590313</v>
      </c>
      <c r="AI116" s="486">
        <f>Model!O819</f>
        <v>-6.9136894430491509</v>
      </c>
      <c r="AJ116" s="486">
        <f>Model!P819</f>
        <v>-7.2326273789821016</v>
      </c>
      <c r="AK116" s="486">
        <f>Model!Q819</f>
        <v>-7.5641949432928186</v>
      </c>
      <c r="AL116" s="486">
        <f>Model!R819</f>
        <v>-7.836900829072988</v>
      </c>
      <c r="AM116" s="486">
        <f>Model!S819</f>
        <v>-8.1152071943242561</v>
      </c>
      <c r="AN116" s="486">
        <f>Model!T819</f>
        <v>-8.4750819169858858</v>
      </c>
    </row>
    <row r="117" spans="1:40" x14ac:dyDescent="0.2">
      <c r="B117" s="458" t="s">
        <v>350</v>
      </c>
      <c r="C117" s="485"/>
      <c r="D117" s="485"/>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f>Model!I820</f>
        <v>-221</v>
      </c>
      <c r="AD117" s="485">
        <f>Model!J820</f>
        <v>-238.39886056849463</v>
      </c>
      <c r="AE117" s="485">
        <f>Model!K820</f>
        <v>-255.16108948720267</v>
      </c>
      <c r="AF117" s="485">
        <f>Model!L820</f>
        <v>-270.75450094338424</v>
      </c>
      <c r="AG117" s="485">
        <f>Model!M820</f>
        <v>-280.38625438271231</v>
      </c>
      <c r="AH117" s="485">
        <f>Model!N820</f>
        <v>-285.15200349433542</v>
      </c>
      <c r="AI117" s="485">
        <f>Model!O820</f>
        <v>-289.64517412400414</v>
      </c>
      <c r="AJ117" s="485">
        <f>Model!P820</f>
        <v>-293.8276607435605</v>
      </c>
      <c r="AK117" s="485">
        <f>Model!Q820</f>
        <v>-297.65896658582574</v>
      </c>
      <c r="AL117" s="485">
        <f>Model!R820</f>
        <v>-300.96728600841493</v>
      </c>
      <c r="AM117" s="485">
        <f>Model!S820</f>
        <v>-315.48935420818657</v>
      </c>
      <c r="AN117" s="485">
        <f>Model!T820</f>
        <v>-330.6554140080151</v>
      </c>
    </row>
    <row r="118" spans="1:40" x14ac:dyDescent="0.2">
      <c r="B118" s="458" t="s">
        <v>959</v>
      </c>
      <c r="C118" s="485"/>
      <c r="D118" s="485"/>
      <c r="E118" s="485"/>
      <c r="F118" s="485"/>
      <c r="G118" s="485"/>
      <c r="H118" s="485"/>
      <c r="I118" s="485"/>
      <c r="J118" s="485"/>
      <c r="K118" s="485"/>
      <c r="L118" s="485"/>
      <c r="M118" s="485"/>
      <c r="N118" s="485"/>
      <c r="O118" s="485"/>
      <c r="P118" s="485"/>
      <c r="Q118" s="485"/>
      <c r="R118" s="485"/>
      <c r="S118" s="485"/>
      <c r="T118" s="485"/>
      <c r="U118" s="485"/>
      <c r="V118" s="485"/>
      <c r="W118" s="485"/>
      <c r="X118" s="485"/>
      <c r="Y118" s="485"/>
      <c r="Z118" s="485"/>
      <c r="AA118" s="485"/>
      <c r="AB118" s="485"/>
      <c r="AC118" s="485">
        <f>Model!I821</f>
        <v>-110</v>
      </c>
      <c r="AD118" s="485">
        <f>Model!J821</f>
        <v>-81.688206061024744</v>
      </c>
      <c r="AE118" s="485">
        <f>Model!K821</f>
        <v>-86.970599505237416</v>
      </c>
      <c r="AF118" s="485">
        <f>Model!L821</f>
        <v>-91.781186760469225</v>
      </c>
      <c r="AG118" s="485">
        <f>Model!M821</f>
        <v>-93.952270553647764</v>
      </c>
      <c r="AH118" s="485">
        <f>Model!N821</f>
        <v>-94.364381421109826</v>
      </c>
      <c r="AI118" s="485">
        <f>Model!O821</f>
        <v>-94.566987820337175</v>
      </c>
      <c r="AJ118" s="485">
        <f>Model!P821</f>
        <v>-94.539144383384993</v>
      </c>
      <c r="AK118" s="485">
        <f>Model!Q821</f>
        <v>-94.258672752178157</v>
      </c>
      <c r="AL118" s="485">
        <f>Model!R821</f>
        <v>-93.662018467349043</v>
      </c>
      <c r="AM118" s="485">
        <f>Model!S821</f>
        <v>-98.181334297153498</v>
      </c>
      <c r="AN118" s="485">
        <f>Model!T821</f>
        <v>-102.90106245062712</v>
      </c>
    </row>
    <row r="119" spans="1:40" x14ac:dyDescent="0.2">
      <c r="A119" s="456" t="s">
        <v>22</v>
      </c>
      <c r="B119" s="458" t="s">
        <v>960</v>
      </c>
      <c r="C119" s="485"/>
      <c r="D119" s="485"/>
      <c r="E119" s="485"/>
      <c r="F119" s="485"/>
      <c r="G119" s="485"/>
      <c r="H119" s="485"/>
      <c r="I119" s="485"/>
      <c r="J119" s="485"/>
      <c r="K119" s="485"/>
      <c r="L119" s="485"/>
      <c r="M119" s="485"/>
      <c r="N119" s="485"/>
      <c r="O119" s="485"/>
      <c r="P119" s="485"/>
      <c r="Q119" s="485"/>
      <c r="R119" s="485"/>
      <c r="S119" s="485"/>
      <c r="T119" s="485"/>
      <c r="U119" s="485"/>
      <c r="V119" s="485"/>
      <c r="W119" s="485"/>
      <c r="X119" s="485"/>
      <c r="Y119" s="485"/>
      <c r="Z119" s="485"/>
      <c r="AA119" s="485"/>
      <c r="AB119" s="485"/>
      <c r="AC119" s="485">
        <f>Model!I822</f>
        <v>0</v>
      </c>
      <c r="AD119" s="485">
        <f>Model!J822</f>
        <v>-141</v>
      </c>
      <c r="AE119" s="485">
        <f>Model!K822</f>
        <v>0</v>
      </c>
      <c r="AF119" s="485">
        <f>Model!L822</f>
        <v>0</v>
      </c>
      <c r="AG119" s="485">
        <f>Model!M822</f>
        <v>0</v>
      </c>
      <c r="AH119" s="485">
        <f>Model!N822</f>
        <v>0</v>
      </c>
      <c r="AI119" s="485">
        <f>Model!O822</f>
        <v>0</v>
      </c>
      <c r="AJ119" s="485">
        <f>Model!P822</f>
        <v>0</v>
      </c>
      <c r="AK119" s="485">
        <f>Model!Q822</f>
        <v>0</v>
      </c>
      <c r="AL119" s="485">
        <f>Model!R822</f>
        <v>0</v>
      </c>
      <c r="AM119" s="485">
        <f>Model!S822</f>
        <v>0</v>
      </c>
      <c r="AN119" s="485">
        <f>Model!T822</f>
        <v>0</v>
      </c>
    </row>
    <row r="120" spans="1:40" x14ac:dyDescent="0.2">
      <c r="B120" s="458" t="s">
        <v>27</v>
      </c>
      <c r="C120" s="485"/>
      <c r="D120" s="485"/>
      <c r="E120" s="485"/>
      <c r="F120" s="485"/>
      <c r="G120" s="485"/>
      <c r="H120" s="485"/>
      <c r="I120" s="485"/>
      <c r="J120" s="485"/>
      <c r="K120" s="485"/>
      <c r="L120" s="485"/>
      <c r="M120" s="485"/>
      <c r="N120" s="485"/>
      <c r="O120" s="485"/>
      <c r="P120" s="485"/>
      <c r="Q120" s="485"/>
      <c r="R120" s="485"/>
      <c r="S120" s="485"/>
      <c r="T120" s="485"/>
      <c r="U120" s="485"/>
      <c r="V120" s="485"/>
      <c r="W120" s="485"/>
      <c r="X120" s="485"/>
      <c r="Y120" s="485"/>
      <c r="Z120" s="485"/>
      <c r="AA120" s="485"/>
      <c r="AB120" s="485"/>
      <c r="AC120" s="485">
        <f>Model!I823</f>
        <v>-383</v>
      </c>
      <c r="AD120" s="485">
        <f>Model!J823</f>
        <v>509.4</v>
      </c>
      <c r="AE120" s="485">
        <f>Model!K823</f>
        <v>0</v>
      </c>
      <c r="AF120" s="485">
        <f>Model!L823</f>
        <v>0</v>
      </c>
      <c r="AG120" s="485">
        <f>Model!M823</f>
        <v>0</v>
      </c>
      <c r="AH120" s="485">
        <f>Model!N823</f>
        <v>0</v>
      </c>
      <c r="AI120" s="485">
        <f>Model!O823</f>
        <v>0</v>
      </c>
      <c r="AJ120" s="485">
        <f>Model!P823</f>
        <v>0</v>
      </c>
      <c r="AK120" s="485">
        <f>Model!Q823</f>
        <v>0</v>
      </c>
      <c r="AL120" s="485">
        <f>Model!R823</f>
        <v>0</v>
      </c>
      <c r="AM120" s="485">
        <f>Model!S823</f>
        <v>0</v>
      </c>
      <c r="AN120" s="485">
        <f>Model!T823</f>
        <v>0</v>
      </c>
    </row>
    <row r="121" spans="1:40" s="476" customFormat="1" x14ac:dyDescent="0.2">
      <c r="B121" s="483" t="s">
        <v>938</v>
      </c>
      <c r="C121" s="487"/>
      <c r="D121" s="487"/>
      <c r="E121" s="488"/>
      <c r="F121" s="488"/>
      <c r="G121" s="488"/>
      <c r="H121" s="488"/>
      <c r="I121" s="488"/>
      <c r="J121" s="488"/>
      <c r="K121" s="488"/>
      <c r="L121" s="488"/>
      <c r="M121" s="488"/>
      <c r="N121" s="488"/>
      <c r="O121" s="488"/>
      <c r="P121" s="488"/>
      <c r="Q121" s="488"/>
      <c r="R121" s="488"/>
      <c r="S121" s="488"/>
      <c r="T121" s="488"/>
      <c r="U121" s="488"/>
      <c r="V121" s="488"/>
      <c r="W121" s="488"/>
      <c r="X121" s="488"/>
      <c r="Y121" s="488"/>
      <c r="Z121" s="488"/>
      <c r="AA121" s="488"/>
      <c r="AB121" s="488"/>
      <c r="AC121" s="488">
        <f>Model!I824</f>
        <v>-152</v>
      </c>
      <c r="AD121" s="488">
        <f>Model!J824</f>
        <v>545.98936795356803</v>
      </c>
      <c r="AE121" s="488">
        <f>Model!K824</f>
        <v>210.22373465769101</v>
      </c>
      <c r="AF121" s="488">
        <f>Model!L824</f>
        <v>233.74584392417785</v>
      </c>
      <c r="AG121" s="488">
        <f>Model!M824</f>
        <v>263.80730449864416</v>
      </c>
      <c r="AH121" s="488">
        <f>Model!N824</f>
        <v>296.40481579308465</v>
      </c>
      <c r="AI121" s="488">
        <f>Model!O824</f>
        <v>341.34551524803783</v>
      </c>
      <c r="AJ121" s="488">
        <f>Model!P824</f>
        <v>391.18803363298997</v>
      </c>
      <c r="AK121" s="488">
        <f>Model!Q824</f>
        <v>450.12956671404646</v>
      </c>
      <c r="AL121" s="488">
        <f>Model!R824</f>
        <v>515.22550644049272</v>
      </c>
      <c r="AM121" s="488">
        <f>Model!S824</f>
        <v>573.01877670464842</v>
      </c>
      <c r="AN121" s="488">
        <f>Model!T824</f>
        <v>633.42565960169645</v>
      </c>
    </row>
    <row r="122" spans="1:40" x14ac:dyDescent="0.2">
      <c r="B122" s="458" t="s">
        <v>272</v>
      </c>
      <c r="C122" s="485"/>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f>Model!I796</f>
        <v>220</v>
      </c>
      <c r="AD122" s="485">
        <f>Model!J796</f>
        <v>-325.98936795356803</v>
      </c>
      <c r="AE122" s="485">
        <f>Model!K796</f>
        <v>-536.21310261125905</v>
      </c>
      <c r="AF122" s="485">
        <f>Model!L796</f>
        <v>-769.95894653543701</v>
      </c>
      <c r="AG122" s="485">
        <f>Model!M796</f>
        <v>-1033.7662510340811</v>
      </c>
      <c r="AH122" s="485">
        <f>Model!N796</f>
        <v>-1330.1710668271658</v>
      </c>
      <c r="AI122" s="485">
        <f>Model!O796</f>
        <v>-1671.5165820752036</v>
      </c>
      <c r="AJ122" s="485">
        <f>Model!P796</f>
        <v>-2062.7046157081936</v>
      </c>
      <c r="AK122" s="485">
        <f>Model!Q796</f>
        <v>-2512.8341824222398</v>
      </c>
      <c r="AL122" s="485">
        <f>Model!R796</f>
        <v>-3028.0596888627324</v>
      </c>
      <c r="AM122" s="485">
        <f>Model!S796</f>
        <v>-3601.078465567381</v>
      </c>
      <c r="AN122" s="485">
        <f>Model!T796</f>
        <v>-4234.5041251690782</v>
      </c>
    </row>
    <row r="123" spans="1:40" x14ac:dyDescent="0.2">
      <c r="E123" s="467"/>
      <c r="F123" s="467"/>
      <c r="G123" s="467"/>
      <c r="H123" s="467"/>
      <c r="I123" s="467"/>
      <c r="J123" s="467"/>
      <c r="K123" s="467"/>
      <c r="L123" s="467"/>
      <c r="M123" s="467"/>
      <c r="N123" s="467"/>
      <c r="O123" s="467"/>
      <c r="P123" s="467"/>
      <c r="Q123" s="467"/>
      <c r="R123" s="467"/>
      <c r="S123" s="467"/>
      <c r="T123" s="467"/>
      <c r="U123" s="467"/>
      <c r="V123" s="467"/>
      <c r="W123" s="467"/>
      <c r="X123" s="467"/>
      <c r="Y123" s="467"/>
      <c r="Z123" s="467"/>
      <c r="AA123" s="467"/>
      <c r="AB123" s="467"/>
      <c r="AC123" s="467"/>
      <c r="AD123" s="467">
        <f t="shared" ref="AD123:AN123" si="9">AC122-AD122-SUM(AD111:AD120)</f>
        <v>0</v>
      </c>
      <c r="AE123" s="467">
        <f t="shared" si="9"/>
        <v>0</v>
      </c>
      <c r="AF123" s="467">
        <f t="shared" si="9"/>
        <v>0</v>
      </c>
      <c r="AG123" s="467">
        <f t="shared" si="9"/>
        <v>0</v>
      </c>
      <c r="AH123" s="467">
        <f t="shared" si="9"/>
        <v>0</v>
      </c>
      <c r="AI123" s="467">
        <f t="shared" si="9"/>
        <v>0</v>
      </c>
      <c r="AJ123" s="467">
        <f t="shared" si="9"/>
        <v>0</v>
      </c>
      <c r="AK123" s="467">
        <f t="shared" si="9"/>
        <v>0</v>
      </c>
      <c r="AL123" s="467">
        <f t="shared" si="9"/>
        <v>0</v>
      </c>
      <c r="AM123" s="467">
        <f t="shared" si="9"/>
        <v>0</v>
      </c>
      <c r="AN123" s="467">
        <f t="shared" si="9"/>
        <v>0</v>
      </c>
    </row>
    <row r="124" spans="1:40" x14ac:dyDescent="0.2">
      <c r="B124" s="457" t="s">
        <v>939</v>
      </c>
      <c r="C124" s="457">
        <f>C$2</f>
        <v>1998</v>
      </c>
      <c r="D124" s="457">
        <f t="shared" ref="D124:AN124" si="10">D$2</f>
        <v>1999</v>
      </c>
      <c r="E124" s="457">
        <f t="shared" si="10"/>
        <v>2000</v>
      </c>
      <c r="F124" s="457">
        <f t="shared" si="10"/>
        <v>2001</v>
      </c>
      <c r="G124" s="457">
        <f t="shared" si="10"/>
        <v>2002</v>
      </c>
      <c r="H124" s="457">
        <f t="shared" si="10"/>
        <v>2003</v>
      </c>
      <c r="I124" s="457">
        <f t="shared" si="10"/>
        <v>2004</v>
      </c>
      <c r="J124" s="457">
        <f t="shared" si="10"/>
        <v>2005</v>
      </c>
      <c r="K124" s="457">
        <f t="shared" si="10"/>
        <v>2006</v>
      </c>
      <c r="L124" s="457">
        <f t="shared" si="10"/>
        <v>2007</v>
      </c>
      <c r="M124" s="457">
        <f t="shared" si="10"/>
        <v>2008</v>
      </c>
      <c r="N124" s="457">
        <f t="shared" si="10"/>
        <v>2009</v>
      </c>
      <c r="O124" s="457">
        <f t="shared" si="10"/>
        <v>2010</v>
      </c>
      <c r="P124" s="457">
        <f t="shared" si="10"/>
        <v>2011</v>
      </c>
      <c r="Q124" s="457">
        <f t="shared" si="10"/>
        <v>2012</v>
      </c>
      <c r="R124" s="457">
        <f t="shared" si="10"/>
        <v>2013</v>
      </c>
      <c r="S124" s="457">
        <f t="shared" si="10"/>
        <v>2014</v>
      </c>
      <c r="T124" s="457">
        <f t="shared" si="10"/>
        <v>2015</v>
      </c>
      <c r="U124" s="457">
        <f t="shared" si="10"/>
        <v>2016</v>
      </c>
      <c r="V124" s="457">
        <f t="shared" si="10"/>
        <v>2017</v>
      </c>
      <c r="W124" s="457">
        <f t="shared" si="10"/>
        <v>2018</v>
      </c>
      <c r="X124" s="457">
        <f t="shared" si="10"/>
        <v>2019</v>
      </c>
      <c r="Y124" s="457">
        <f t="shared" si="10"/>
        <v>2020</v>
      </c>
      <c r="Z124" s="457">
        <f t="shared" si="10"/>
        <v>2021</v>
      </c>
      <c r="AA124" s="457">
        <f t="shared" si="10"/>
        <v>2022</v>
      </c>
      <c r="AB124" s="457">
        <f t="shared" si="10"/>
        <v>2023</v>
      </c>
      <c r="AC124" s="457">
        <f t="shared" si="10"/>
        <v>2024</v>
      </c>
      <c r="AD124" s="457">
        <f t="shared" si="10"/>
        <v>2025</v>
      </c>
      <c r="AE124" s="457">
        <f t="shared" si="10"/>
        <v>2026</v>
      </c>
      <c r="AF124" s="457">
        <f t="shared" si="10"/>
        <v>2027</v>
      </c>
      <c r="AG124" s="457">
        <f t="shared" si="10"/>
        <v>2028</v>
      </c>
      <c r="AH124" s="457">
        <f t="shared" si="10"/>
        <v>2029</v>
      </c>
      <c r="AI124" s="457">
        <f t="shared" si="10"/>
        <v>2030</v>
      </c>
      <c r="AJ124" s="457">
        <f t="shared" si="10"/>
        <v>2031</v>
      </c>
      <c r="AK124" s="457">
        <f t="shared" si="10"/>
        <v>2032</v>
      </c>
      <c r="AL124" s="457">
        <f t="shared" si="10"/>
        <v>2033</v>
      </c>
      <c r="AM124" s="457">
        <f t="shared" si="10"/>
        <v>2034</v>
      </c>
      <c r="AN124" s="457">
        <f t="shared" si="10"/>
        <v>2035</v>
      </c>
    </row>
    <row r="125" spans="1:40" x14ac:dyDescent="0.2">
      <c r="B125" s="458" t="s">
        <v>940</v>
      </c>
      <c r="C125" s="459"/>
      <c r="D125" s="460"/>
      <c r="E125" s="460"/>
      <c r="F125" s="460"/>
      <c r="G125" s="460"/>
      <c r="H125" s="460"/>
      <c r="I125" s="460"/>
      <c r="J125" s="460"/>
      <c r="K125" s="460"/>
      <c r="L125" s="460"/>
      <c r="M125" s="460"/>
      <c r="N125" s="460"/>
      <c r="O125" s="460"/>
      <c r="P125" s="460"/>
      <c r="Q125" s="460"/>
      <c r="R125" s="460"/>
      <c r="S125" s="460"/>
      <c r="T125" s="460"/>
      <c r="U125" s="460"/>
      <c r="V125" s="460"/>
      <c r="W125" s="460"/>
      <c r="X125" s="460"/>
      <c r="Y125" s="460"/>
      <c r="Z125" s="460"/>
      <c r="AA125" s="460"/>
      <c r="AB125" s="460"/>
      <c r="AC125" s="460"/>
      <c r="AD125" s="460"/>
      <c r="AE125" s="460"/>
      <c r="AF125" s="460"/>
      <c r="AG125" s="460"/>
      <c r="AH125" s="460"/>
      <c r="AI125" s="460"/>
      <c r="AJ125" s="460"/>
      <c r="AK125" s="460"/>
      <c r="AL125" s="460"/>
      <c r="AM125" s="460"/>
      <c r="AN125" s="460"/>
    </row>
    <row r="126" spans="1:40" x14ac:dyDescent="0.2">
      <c r="B126" s="458" t="s">
        <v>941</v>
      </c>
      <c r="C126" s="459"/>
      <c r="D126" s="459"/>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3"/>
      <c r="AD126" s="463"/>
      <c r="AE126" s="463"/>
      <c r="AF126" s="463"/>
      <c r="AG126" s="463"/>
      <c r="AH126" s="463"/>
      <c r="AI126" s="463"/>
      <c r="AJ126" s="463"/>
      <c r="AK126" s="463"/>
      <c r="AL126" s="463"/>
      <c r="AM126" s="463"/>
      <c r="AN126" s="463"/>
    </row>
    <row r="127" spans="1:40" x14ac:dyDescent="0.2">
      <c r="B127" s="458" t="s">
        <v>942</v>
      </c>
      <c r="C127" s="459"/>
      <c r="D127" s="459"/>
      <c r="E127" s="459"/>
      <c r="F127" s="459"/>
      <c r="G127" s="459"/>
      <c r="H127" s="459"/>
      <c r="I127" s="459"/>
      <c r="J127" s="459"/>
      <c r="K127" s="459"/>
      <c r="L127" s="459"/>
      <c r="M127" s="459"/>
      <c r="N127" s="459"/>
      <c r="O127" s="459"/>
      <c r="P127" s="459"/>
      <c r="Q127" s="459"/>
      <c r="R127" s="459"/>
      <c r="S127" s="459"/>
      <c r="T127" s="459"/>
      <c r="U127" s="459"/>
      <c r="V127" s="459"/>
      <c r="W127" s="459"/>
      <c r="X127" s="459"/>
      <c r="Y127" s="459"/>
      <c r="Z127" s="459"/>
      <c r="AA127" s="459"/>
      <c r="AB127" s="459"/>
      <c r="AC127" s="459"/>
      <c r="AD127" s="459"/>
      <c r="AE127" s="459"/>
      <c r="AF127" s="459"/>
      <c r="AG127" s="459"/>
      <c r="AH127" s="459"/>
      <c r="AI127" s="459"/>
      <c r="AJ127" s="459"/>
      <c r="AK127" s="459"/>
      <c r="AL127" s="459"/>
      <c r="AM127" s="459"/>
      <c r="AN127" s="459"/>
    </row>
    <row r="128" spans="1:40" x14ac:dyDescent="0.2">
      <c r="B128" s="458" t="s">
        <v>943</v>
      </c>
      <c r="C128" s="459"/>
      <c r="D128" s="459"/>
      <c r="E128" s="459"/>
      <c r="F128" s="459"/>
      <c r="G128" s="459"/>
      <c r="H128" s="459"/>
      <c r="I128" s="459"/>
      <c r="J128" s="459"/>
      <c r="K128" s="459"/>
      <c r="L128" s="459"/>
      <c r="M128" s="459"/>
      <c r="N128" s="459"/>
      <c r="O128" s="459"/>
      <c r="P128" s="459"/>
      <c r="Q128" s="459"/>
      <c r="R128" s="459"/>
      <c r="S128" s="459"/>
      <c r="T128" s="459"/>
      <c r="U128" s="459"/>
      <c r="V128" s="459"/>
      <c r="W128" s="459"/>
      <c r="X128" s="459"/>
      <c r="Y128" s="459"/>
      <c r="Z128" s="459"/>
      <c r="AA128" s="459"/>
      <c r="AB128" s="459"/>
      <c r="AC128" s="459"/>
      <c r="AD128" s="459"/>
      <c r="AE128" s="459"/>
      <c r="AF128" s="459"/>
      <c r="AG128" s="459"/>
      <c r="AH128" s="459"/>
      <c r="AI128" s="459"/>
      <c r="AJ128" s="459"/>
      <c r="AK128" s="459"/>
      <c r="AL128" s="459"/>
      <c r="AM128" s="459"/>
      <c r="AN128" s="459"/>
    </row>
    <row r="129" spans="2:40" x14ac:dyDescent="0.2">
      <c r="B129" s="458" t="s">
        <v>944</v>
      </c>
      <c r="C129" s="459"/>
      <c r="D129" s="459"/>
      <c r="E129" s="459"/>
      <c r="F129" s="459"/>
      <c r="G129" s="459"/>
      <c r="H129" s="459"/>
      <c r="I129" s="459"/>
      <c r="J129" s="459"/>
      <c r="K129" s="459"/>
      <c r="L129" s="459"/>
      <c r="M129" s="459"/>
      <c r="N129" s="459"/>
      <c r="O129" s="459"/>
      <c r="P129" s="459"/>
      <c r="Q129" s="459"/>
      <c r="R129" s="459"/>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59"/>
    </row>
    <row r="130" spans="2:40" x14ac:dyDescent="0.2">
      <c r="B130" s="458" t="s">
        <v>945</v>
      </c>
      <c r="C130" s="459"/>
      <c r="D130" s="459"/>
      <c r="E130" s="459"/>
      <c r="F130" s="459"/>
      <c r="G130" s="459"/>
      <c r="H130" s="459"/>
      <c r="I130" s="459"/>
      <c r="J130" s="459"/>
      <c r="K130" s="459"/>
      <c r="L130" s="459"/>
      <c r="M130" s="459"/>
      <c r="N130" s="459"/>
      <c r="O130" s="459"/>
      <c r="P130" s="459"/>
      <c r="Q130" s="459"/>
      <c r="R130" s="459"/>
      <c r="S130" s="459"/>
      <c r="T130" s="459"/>
      <c r="U130" s="459"/>
      <c r="V130" s="459"/>
      <c r="W130" s="459"/>
      <c r="X130" s="459"/>
      <c r="Y130" s="459"/>
      <c r="Z130" s="459"/>
      <c r="AA130" s="459"/>
      <c r="AB130" s="459"/>
      <c r="AC130" s="459"/>
      <c r="AD130" s="459"/>
      <c r="AE130" s="459"/>
      <c r="AF130" s="459"/>
      <c r="AG130" s="459"/>
      <c r="AH130" s="459"/>
      <c r="AI130" s="459"/>
      <c r="AJ130" s="459"/>
      <c r="AK130" s="459"/>
      <c r="AL130" s="459"/>
      <c r="AM130" s="459"/>
      <c r="AN130" s="459"/>
    </row>
    <row r="132" spans="2:40" x14ac:dyDescent="0.2">
      <c r="B132" s="457" t="s">
        <v>946</v>
      </c>
      <c r="C132" s="457">
        <f>C$2</f>
        <v>1998</v>
      </c>
      <c r="D132" s="457">
        <f t="shared" ref="D132:AN132" si="11">D$2</f>
        <v>1999</v>
      </c>
      <c r="E132" s="457">
        <f t="shared" si="11"/>
        <v>2000</v>
      </c>
      <c r="F132" s="457">
        <f t="shared" si="11"/>
        <v>2001</v>
      </c>
      <c r="G132" s="457">
        <f t="shared" si="11"/>
        <v>2002</v>
      </c>
      <c r="H132" s="457">
        <f t="shared" si="11"/>
        <v>2003</v>
      </c>
      <c r="I132" s="457">
        <f t="shared" si="11"/>
        <v>2004</v>
      </c>
      <c r="J132" s="457">
        <f t="shared" si="11"/>
        <v>2005</v>
      </c>
      <c r="K132" s="457">
        <f t="shared" si="11"/>
        <v>2006</v>
      </c>
      <c r="L132" s="457">
        <f t="shared" si="11"/>
        <v>2007</v>
      </c>
      <c r="M132" s="457">
        <f t="shared" si="11"/>
        <v>2008</v>
      </c>
      <c r="N132" s="457">
        <f t="shared" si="11"/>
        <v>2009</v>
      </c>
      <c r="O132" s="457">
        <f t="shared" si="11"/>
        <v>2010</v>
      </c>
      <c r="P132" s="457">
        <f t="shared" si="11"/>
        <v>2011</v>
      </c>
      <c r="Q132" s="457">
        <f t="shared" si="11"/>
        <v>2012</v>
      </c>
      <c r="R132" s="457">
        <f t="shared" si="11"/>
        <v>2013</v>
      </c>
      <c r="S132" s="457">
        <f t="shared" si="11"/>
        <v>2014</v>
      </c>
      <c r="T132" s="457">
        <f t="shared" si="11"/>
        <v>2015</v>
      </c>
      <c r="U132" s="457">
        <f t="shared" si="11"/>
        <v>2016</v>
      </c>
      <c r="V132" s="457">
        <f t="shared" si="11"/>
        <v>2017</v>
      </c>
      <c r="W132" s="457">
        <f t="shared" si="11"/>
        <v>2018</v>
      </c>
      <c r="X132" s="457">
        <f t="shared" si="11"/>
        <v>2019</v>
      </c>
      <c r="Y132" s="457">
        <f t="shared" si="11"/>
        <v>2020</v>
      </c>
      <c r="Z132" s="457">
        <f t="shared" si="11"/>
        <v>2021</v>
      </c>
      <c r="AA132" s="457">
        <f t="shared" si="11"/>
        <v>2022</v>
      </c>
      <c r="AB132" s="457">
        <f t="shared" si="11"/>
        <v>2023</v>
      </c>
      <c r="AC132" s="457">
        <f t="shared" si="11"/>
        <v>2024</v>
      </c>
      <c r="AD132" s="457">
        <f t="shared" si="11"/>
        <v>2025</v>
      </c>
      <c r="AE132" s="457">
        <f t="shared" si="11"/>
        <v>2026</v>
      </c>
      <c r="AF132" s="457">
        <f t="shared" si="11"/>
        <v>2027</v>
      </c>
      <c r="AG132" s="457">
        <f t="shared" si="11"/>
        <v>2028</v>
      </c>
      <c r="AH132" s="457">
        <f t="shared" si="11"/>
        <v>2029</v>
      </c>
      <c r="AI132" s="457">
        <f t="shared" si="11"/>
        <v>2030</v>
      </c>
      <c r="AJ132" s="457">
        <f t="shared" si="11"/>
        <v>2031</v>
      </c>
      <c r="AK132" s="457">
        <f t="shared" si="11"/>
        <v>2032</v>
      </c>
      <c r="AL132" s="457">
        <f t="shared" si="11"/>
        <v>2033</v>
      </c>
      <c r="AM132" s="457">
        <f t="shared" si="11"/>
        <v>2034</v>
      </c>
      <c r="AN132" s="457">
        <f t="shared" si="11"/>
        <v>2035</v>
      </c>
    </row>
    <row r="133" spans="2:40" x14ac:dyDescent="0.2">
      <c r="B133" s="468" t="s">
        <v>123</v>
      </c>
      <c r="C133" s="469"/>
      <c r="D133" s="469"/>
      <c r="E133" s="463"/>
      <c r="F133" s="463"/>
      <c r="G133" s="463"/>
      <c r="H133" s="463"/>
      <c r="I133" s="463"/>
      <c r="J133" s="463"/>
      <c r="K133" s="463"/>
      <c r="L133" s="463"/>
      <c r="M133" s="463"/>
      <c r="N133" s="463"/>
      <c r="O133" s="463"/>
      <c r="P133" s="463"/>
      <c r="Q133" s="463"/>
      <c r="R133" s="463"/>
      <c r="S133" s="463"/>
      <c r="T133" s="463"/>
      <c r="U133" s="463"/>
      <c r="V133" s="463"/>
      <c r="W133" s="463"/>
      <c r="X133" s="463"/>
      <c r="Y133" s="463"/>
      <c r="Z133" s="463"/>
      <c r="AA133" s="463"/>
      <c r="AB133" s="463"/>
      <c r="AC133" s="463"/>
      <c r="AD133" s="463"/>
      <c r="AE133" s="463"/>
      <c r="AF133" s="463"/>
      <c r="AG133" s="463"/>
      <c r="AH133" s="463"/>
      <c r="AI133" s="463"/>
      <c r="AJ133" s="463"/>
      <c r="AK133" s="463"/>
      <c r="AL133" s="463"/>
      <c r="AM133" s="463"/>
      <c r="AN133" s="463"/>
    </row>
    <row r="134" spans="2:40" x14ac:dyDescent="0.2">
      <c r="B134" s="576" t="s">
        <v>139</v>
      </c>
      <c r="C134" s="459"/>
      <c r="D134" s="460"/>
      <c r="E134" s="460"/>
      <c r="F134" s="460"/>
      <c r="G134" s="460"/>
      <c r="H134" s="460"/>
      <c r="I134" s="460"/>
      <c r="J134" s="460"/>
      <c r="K134" s="460"/>
      <c r="L134" s="460"/>
      <c r="M134" s="460"/>
      <c r="N134" s="460"/>
      <c r="O134" s="460"/>
      <c r="P134" s="460"/>
      <c r="Q134" s="460"/>
      <c r="R134" s="460"/>
      <c r="S134" s="460"/>
      <c r="T134" s="460"/>
      <c r="U134" s="460"/>
      <c r="V134" s="460"/>
      <c r="W134" s="460"/>
      <c r="X134" s="460"/>
      <c r="Y134" s="460"/>
      <c r="Z134" s="460"/>
      <c r="AA134" s="460"/>
      <c r="AB134" s="460">
        <f>Model!H600</f>
        <v>859</v>
      </c>
      <c r="AC134" s="460">
        <f>Model!I600</f>
        <v>865</v>
      </c>
      <c r="AD134" s="460">
        <f>Model!J600</f>
        <v>975.99956902239501</v>
      </c>
      <c r="AE134" s="460">
        <f>Model!K600</f>
        <v>1059.8902969864516</v>
      </c>
      <c r="AF134" s="460">
        <f>Model!L600</f>
        <v>1140.915095673902</v>
      </c>
      <c r="AG134" s="460">
        <f>Model!M600</f>
        <v>1217.2157113308724</v>
      </c>
      <c r="AH134" s="460">
        <f>Model!N600</f>
        <v>1275.3387453127918</v>
      </c>
      <c r="AI134" s="460">
        <f>Model!O600</f>
        <v>1336.0447076965975</v>
      </c>
      <c r="AJ134" s="460">
        <f>Model!P600</f>
        <v>1399.43627330705</v>
      </c>
      <c r="AK134" s="460">
        <f>Model!Q600</f>
        <v>1465.6200921185161</v>
      </c>
      <c r="AL134" s="460">
        <f>Model!R600</f>
        <v>1534.7069285175312</v>
      </c>
      <c r="AM134" s="460">
        <f>Model!S600</f>
        <v>1606.8118052872239</v>
      </c>
      <c r="AN134" s="460">
        <f>Model!T600</f>
        <v>1682.054152449379</v>
      </c>
    </row>
    <row r="135" spans="2:40" x14ac:dyDescent="0.2">
      <c r="B135" s="576" t="s">
        <v>153</v>
      </c>
      <c r="C135" s="459"/>
      <c r="D135" s="460"/>
      <c r="E135" s="460"/>
      <c r="F135" s="460"/>
      <c r="G135" s="460"/>
      <c r="H135" s="460"/>
      <c r="I135" s="460"/>
      <c r="J135" s="460"/>
      <c r="K135" s="460"/>
      <c r="L135" s="460"/>
      <c r="M135" s="460"/>
      <c r="N135" s="460"/>
      <c r="O135" s="460"/>
      <c r="P135" s="460"/>
      <c r="Q135" s="460"/>
      <c r="R135" s="460"/>
      <c r="S135" s="460"/>
      <c r="T135" s="460"/>
      <c r="U135" s="460"/>
      <c r="V135" s="460"/>
      <c r="W135" s="460"/>
      <c r="X135" s="460"/>
      <c r="Y135" s="460"/>
      <c r="Z135" s="460"/>
      <c r="AA135" s="460"/>
      <c r="AB135" s="460">
        <f>Model!H601</f>
        <v>52</v>
      </c>
      <c r="AC135" s="460">
        <f>Model!I601</f>
        <v>50</v>
      </c>
      <c r="AD135" s="460">
        <f>Model!J601</f>
        <v>52.690750011268349</v>
      </c>
      <c r="AE135" s="460">
        <f>Model!K601</f>
        <v>58.158284257130795</v>
      </c>
      <c r="AF135" s="460">
        <f>Model!L601</f>
        <v>63.990321771877724</v>
      </c>
      <c r="AG135" s="460">
        <f>Model!M601</f>
        <v>70.201788545297006</v>
      </c>
      <c r="AH135" s="460">
        <f>Model!N601</f>
        <v>76.80811519130549</v>
      </c>
      <c r="AI135" s="460">
        <f>Model!O601</f>
        <v>83.825251592787737</v>
      </c>
      <c r="AJ135" s="460">
        <f>Model!P601</f>
        <v>91.2696819550291</v>
      </c>
      <c r="AK135" s="460">
        <f>Model!Q601</f>
        <v>99.158440277911765</v>
      </c>
      <c r="AL135" s="460">
        <f>Model!R601</f>
        <v>106.80549617412106</v>
      </c>
      <c r="AM135" s="460">
        <f>Model!S601</f>
        <v>114.15077328595706</v>
      </c>
      <c r="AN135" s="460">
        <f>Model!T601</f>
        <v>121.87248753719032</v>
      </c>
    </row>
    <row r="136" spans="2:40" x14ac:dyDescent="0.2">
      <c r="B136" s="576" t="s">
        <v>0</v>
      </c>
      <c r="C136" s="459"/>
      <c r="D136" s="460"/>
      <c r="E136" s="460"/>
      <c r="F136" s="460"/>
      <c r="G136" s="460"/>
      <c r="H136" s="460"/>
      <c r="I136" s="460"/>
      <c r="J136" s="460"/>
      <c r="K136" s="460"/>
      <c r="L136" s="460"/>
      <c r="M136" s="460"/>
      <c r="N136" s="460"/>
      <c r="O136" s="460"/>
      <c r="P136" s="460"/>
      <c r="Q136" s="460"/>
      <c r="R136" s="460"/>
      <c r="S136" s="460"/>
      <c r="T136" s="460"/>
      <c r="U136" s="460"/>
      <c r="V136" s="460"/>
      <c r="W136" s="460"/>
      <c r="X136" s="460"/>
      <c r="Y136" s="460"/>
      <c r="Z136" s="460"/>
      <c r="AA136" s="460"/>
      <c r="AB136" s="460">
        <f>Model!H602</f>
        <v>911</v>
      </c>
      <c r="AC136" s="460">
        <f>Model!I602</f>
        <v>915</v>
      </c>
      <c r="AD136" s="460">
        <f>Model!J602</f>
        <v>1028.6903190336634</v>
      </c>
      <c r="AE136" s="460">
        <f>Model!K602</f>
        <v>1118.0485812435825</v>
      </c>
      <c r="AF136" s="460">
        <f>Model!L602</f>
        <v>1204.9054174457797</v>
      </c>
      <c r="AG136" s="460">
        <f>Model!M602</f>
        <v>1287.4174998761694</v>
      </c>
      <c r="AH136" s="460">
        <f>Model!N602</f>
        <v>1352.1468605040973</v>
      </c>
      <c r="AI136" s="460">
        <f>Model!O602</f>
        <v>1419.8699592893852</v>
      </c>
      <c r="AJ136" s="460">
        <f>Model!P602</f>
        <v>1490.705955262079</v>
      </c>
      <c r="AK136" s="460">
        <f>Model!Q602</f>
        <v>1564.7785323964279</v>
      </c>
      <c r="AL136" s="460">
        <f>Model!R602</f>
        <v>1641.5124246916523</v>
      </c>
      <c r="AM136" s="460">
        <f>Model!S602</f>
        <v>1720.962578573181</v>
      </c>
      <c r="AN136" s="460">
        <f>Model!T602</f>
        <v>1803.9266399865694</v>
      </c>
    </row>
    <row r="137" spans="2:40" x14ac:dyDescent="0.2">
      <c r="B137" s="576" t="s">
        <v>27</v>
      </c>
      <c r="C137" s="459"/>
      <c r="D137" s="460"/>
      <c r="E137" s="460"/>
      <c r="F137" s="460"/>
      <c r="G137" s="460"/>
      <c r="H137" s="460"/>
      <c r="I137" s="460"/>
      <c r="J137" s="460"/>
      <c r="K137" s="460"/>
      <c r="L137" s="460"/>
      <c r="M137" s="460"/>
      <c r="N137" s="460"/>
      <c r="O137" s="460"/>
      <c r="P137" s="460"/>
      <c r="Q137" s="460"/>
      <c r="R137" s="460"/>
      <c r="S137" s="460"/>
      <c r="T137" s="460"/>
      <c r="U137" s="460"/>
      <c r="V137" s="460"/>
      <c r="W137" s="460"/>
      <c r="X137" s="460"/>
      <c r="Y137" s="460"/>
      <c r="Z137" s="460"/>
      <c r="AA137" s="460"/>
      <c r="AB137" s="460">
        <f>Model!H603</f>
        <v>4</v>
      </c>
      <c r="AC137" s="460">
        <f>Model!I603</f>
        <v>4</v>
      </c>
      <c r="AD137" s="460">
        <f>Model!J603</f>
        <v>3.8486055776892436</v>
      </c>
      <c r="AE137" s="460">
        <f>Model!K603</f>
        <v>3.6946613545816738</v>
      </c>
      <c r="AF137" s="460">
        <f>Model!L603</f>
        <v>3.5468749003984064</v>
      </c>
      <c r="AG137" s="460">
        <f>Model!M603</f>
        <v>3.4049999043824704</v>
      </c>
      <c r="AH137" s="460">
        <f>Model!N603</f>
        <v>3.2687999082071713</v>
      </c>
      <c r="AI137" s="460">
        <f>Model!O603</f>
        <v>3.1380479118788842</v>
      </c>
      <c r="AJ137" s="460">
        <f>Model!P603</f>
        <v>3.0125259954037289</v>
      </c>
      <c r="AK137" s="460">
        <f>Model!Q603</f>
        <v>2.8920249555875799</v>
      </c>
      <c r="AL137" s="460">
        <f>Model!R603</f>
        <v>2.7763439573640767</v>
      </c>
      <c r="AM137" s="460">
        <f>Model!S603</f>
        <v>2.6652901990695135</v>
      </c>
      <c r="AN137" s="460">
        <f>Model!T603</f>
        <v>2.5586785911067329</v>
      </c>
    </row>
    <row r="138" spans="2:40" x14ac:dyDescent="0.2">
      <c r="B138" s="470"/>
      <c r="C138" s="459"/>
      <c r="D138" s="460"/>
      <c r="E138" s="460"/>
      <c r="F138" s="460"/>
      <c r="G138" s="460"/>
      <c r="H138" s="460"/>
      <c r="I138" s="460"/>
      <c r="J138" s="460"/>
      <c r="K138" s="460"/>
      <c r="L138" s="460"/>
      <c r="M138" s="460"/>
      <c r="N138" s="460"/>
      <c r="O138" s="460"/>
      <c r="P138" s="460"/>
      <c r="Q138" s="460"/>
      <c r="R138" s="460"/>
      <c r="S138" s="460"/>
      <c r="T138" s="460"/>
      <c r="U138" s="460"/>
      <c r="V138" s="460"/>
      <c r="W138" s="460"/>
      <c r="X138" s="460"/>
      <c r="Y138" s="460"/>
      <c r="Z138" s="460"/>
      <c r="AA138" s="460"/>
      <c r="AB138" s="460"/>
      <c r="AC138" s="460"/>
      <c r="AD138" s="460"/>
      <c r="AE138" s="460"/>
      <c r="AF138" s="460"/>
      <c r="AG138" s="460"/>
      <c r="AH138" s="460"/>
      <c r="AI138" s="460"/>
      <c r="AJ138" s="460"/>
      <c r="AK138" s="460"/>
      <c r="AL138" s="460"/>
      <c r="AM138" s="460"/>
      <c r="AN138" s="460"/>
    </row>
    <row r="139" spans="2:40" x14ac:dyDescent="0.2">
      <c r="B139" s="470" t="s">
        <v>120</v>
      </c>
      <c r="C139" s="459"/>
      <c r="D139" s="460"/>
      <c r="E139" s="460"/>
      <c r="F139" s="460"/>
      <c r="G139" s="460"/>
      <c r="H139" s="460"/>
      <c r="I139" s="460"/>
      <c r="J139" s="460"/>
      <c r="K139" s="460"/>
      <c r="L139" s="460"/>
      <c r="M139" s="460"/>
      <c r="N139" s="460"/>
      <c r="O139" s="460"/>
      <c r="P139" s="460"/>
      <c r="Q139" s="460"/>
      <c r="R139" s="460"/>
      <c r="S139" s="460"/>
      <c r="T139" s="460"/>
      <c r="U139" s="460"/>
      <c r="V139" s="460"/>
      <c r="W139" s="460"/>
      <c r="X139" s="460"/>
      <c r="Y139" s="460"/>
      <c r="Z139" s="460"/>
      <c r="AA139" s="460"/>
      <c r="AB139" s="460">
        <f>Model!H623</f>
        <v>10.828547990155865</v>
      </c>
      <c r="AC139" s="460">
        <f>Model!I623</f>
        <v>21.912350597609564</v>
      </c>
      <c r="AD139" s="460">
        <f>Model!J623</f>
        <v>112.26176838019997</v>
      </c>
      <c r="AE139" s="460">
        <f>Model!K623</f>
        <v>165.16257088226038</v>
      </c>
      <c r="AF139" s="460">
        <f>Model!L623</f>
        <v>205.01834164814557</v>
      </c>
      <c r="AG139" s="460">
        <f>Model!M623</f>
        <v>243.20188660936589</v>
      </c>
      <c r="AH139" s="460">
        <f>Model!N623</f>
        <v>277.50195839915222</v>
      </c>
      <c r="AI139" s="460">
        <f>Model!O623</f>
        <v>306.48330601484474</v>
      </c>
      <c r="AJ139" s="460">
        <f>Model!P623</f>
        <v>333.71178659116242</v>
      </c>
      <c r="AK139" s="460">
        <f>Model!Q623</f>
        <v>359.61308127923144</v>
      </c>
      <c r="AL139" s="460">
        <f>Model!R623</f>
        <v>386.37541031274208</v>
      </c>
      <c r="AM139" s="460">
        <f>Model!S623</f>
        <v>414.07212756503702</v>
      </c>
      <c r="AN139" s="460">
        <f>Model!T623</f>
        <v>442.8018523198437</v>
      </c>
    </row>
    <row r="140" spans="2:40" x14ac:dyDescent="0.2">
      <c r="B140" s="470"/>
      <c r="C140" s="459"/>
      <c r="D140" s="460"/>
      <c r="E140" s="460"/>
      <c r="F140" s="460"/>
      <c r="G140" s="460"/>
      <c r="H140" s="460"/>
      <c r="I140" s="460"/>
      <c r="J140" s="460"/>
      <c r="K140" s="460"/>
      <c r="L140" s="460"/>
      <c r="M140" s="460"/>
      <c r="N140" s="460"/>
      <c r="O140" s="460"/>
      <c r="P140" s="460"/>
      <c r="Q140" s="460"/>
      <c r="R140" s="460"/>
      <c r="S140" s="460"/>
      <c r="T140" s="460"/>
      <c r="U140" s="460"/>
      <c r="V140" s="460"/>
      <c r="W140" s="460"/>
      <c r="X140" s="460"/>
      <c r="Y140" s="460"/>
      <c r="Z140" s="460"/>
      <c r="AA140" s="460"/>
      <c r="AB140" s="460"/>
      <c r="AC140" s="460"/>
      <c r="AD140" s="460"/>
      <c r="AE140" s="460"/>
      <c r="AF140" s="460"/>
      <c r="AG140" s="460"/>
      <c r="AH140" s="460"/>
      <c r="AI140" s="460"/>
      <c r="AJ140" s="460"/>
      <c r="AK140" s="460"/>
      <c r="AL140" s="460"/>
      <c r="AM140" s="460"/>
      <c r="AN140" s="460"/>
    </row>
    <row r="141" spans="2:40" x14ac:dyDescent="0.2">
      <c r="B141" s="468" t="s">
        <v>124</v>
      </c>
      <c r="C141" s="469"/>
      <c r="D141" s="469"/>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3"/>
      <c r="AD141" s="463"/>
      <c r="AE141" s="463"/>
      <c r="AF141" s="463"/>
      <c r="AG141" s="463"/>
      <c r="AH141" s="463"/>
      <c r="AI141" s="463"/>
      <c r="AJ141" s="463"/>
      <c r="AK141" s="463"/>
      <c r="AL141" s="463"/>
      <c r="AM141" s="463"/>
      <c r="AN141" s="463"/>
    </row>
    <row r="142" spans="2:40" x14ac:dyDescent="0.2">
      <c r="B142" s="470" t="s">
        <v>513</v>
      </c>
      <c r="C142" s="459"/>
      <c r="D142" s="460"/>
      <c r="E142" s="460"/>
      <c r="F142" s="460"/>
      <c r="G142" s="460"/>
      <c r="H142" s="460"/>
      <c r="I142" s="460"/>
      <c r="J142" s="460"/>
      <c r="K142" s="460"/>
      <c r="L142" s="460"/>
      <c r="M142" s="460"/>
      <c r="N142" s="460"/>
      <c r="O142" s="460"/>
      <c r="P142" s="460"/>
      <c r="Q142" s="460"/>
      <c r="R142" s="460"/>
      <c r="S142" s="460"/>
      <c r="T142" s="460"/>
      <c r="U142" s="460"/>
      <c r="V142" s="460"/>
      <c r="W142" s="460"/>
      <c r="X142" s="460"/>
      <c r="Y142" s="460"/>
      <c r="Z142" s="460"/>
      <c r="AA142" s="460"/>
      <c r="AB142" s="460"/>
      <c r="AC142" s="460"/>
      <c r="AD142" s="460"/>
      <c r="AE142" s="460"/>
      <c r="AF142" s="460"/>
      <c r="AG142" s="460"/>
      <c r="AH142" s="460"/>
      <c r="AI142" s="460"/>
      <c r="AJ142" s="460"/>
      <c r="AK142" s="460"/>
      <c r="AL142" s="460"/>
      <c r="AM142" s="460"/>
      <c r="AN142" s="460"/>
    </row>
    <row r="143" spans="2:40" x14ac:dyDescent="0.2">
      <c r="B143" s="470" t="s">
        <v>28</v>
      </c>
      <c r="C143" s="459"/>
      <c r="D143" s="460"/>
      <c r="E143" s="460"/>
      <c r="F143" s="460"/>
      <c r="G143" s="460"/>
      <c r="H143" s="460"/>
      <c r="I143" s="460"/>
      <c r="J143" s="460"/>
      <c r="K143" s="460"/>
      <c r="L143" s="460"/>
      <c r="M143" s="460"/>
      <c r="N143" s="460"/>
      <c r="O143" s="460"/>
      <c r="P143" s="460"/>
      <c r="Q143" s="460"/>
      <c r="R143" s="460"/>
      <c r="S143" s="460"/>
      <c r="T143" s="460"/>
      <c r="U143" s="460"/>
      <c r="V143" s="460"/>
      <c r="W143" s="460"/>
      <c r="X143" s="460"/>
      <c r="Y143" s="460"/>
      <c r="Z143" s="460"/>
      <c r="AA143" s="460"/>
      <c r="AB143" s="460"/>
      <c r="AC143" s="460"/>
      <c r="AD143" s="460"/>
      <c r="AE143" s="460"/>
      <c r="AF143" s="460"/>
      <c r="AG143" s="460"/>
      <c r="AH143" s="460"/>
      <c r="AI143" s="460"/>
      <c r="AJ143" s="460"/>
      <c r="AK143" s="460"/>
      <c r="AL143" s="460"/>
      <c r="AM143" s="460"/>
      <c r="AN143" s="460"/>
    </row>
    <row r="144" spans="2:40" x14ac:dyDescent="0.2">
      <c r="B144" s="470"/>
      <c r="C144" s="459"/>
      <c r="D144" s="460"/>
      <c r="E144" s="460"/>
      <c r="F144" s="460"/>
      <c r="G144" s="460"/>
      <c r="H144" s="460"/>
      <c r="I144" s="460"/>
      <c r="J144" s="460"/>
      <c r="K144" s="460"/>
      <c r="L144" s="460"/>
      <c r="M144" s="460"/>
      <c r="N144" s="460"/>
      <c r="O144" s="460"/>
      <c r="P144" s="460"/>
      <c r="Q144" s="460"/>
      <c r="R144" s="460"/>
      <c r="S144" s="460"/>
      <c r="T144" s="460"/>
      <c r="U144" s="460"/>
      <c r="V144" s="460"/>
      <c r="W144" s="460"/>
      <c r="X144" s="460"/>
      <c r="Y144" s="460"/>
      <c r="Z144" s="460"/>
      <c r="AA144" s="460"/>
      <c r="AB144" s="460"/>
      <c r="AC144" s="460"/>
      <c r="AD144" s="460"/>
      <c r="AE144" s="460"/>
      <c r="AF144" s="460"/>
      <c r="AG144" s="460"/>
      <c r="AH144" s="460"/>
      <c r="AI144" s="460"/>
      <c r="AJ144" s="460"/>
      <c r="AK144" s="460"/>
      <c r="AL144" s="460"/>
      <c r="AM144" s="460"/>
      <c r="AN144" s="460"/>
    </row>
    <row r="145" spans="2:40" x14ac:dyDescent="0.2">
      <c r="B145" s="468" t="s">
        <v>35</v>
      </c>
      <c r="C145" s="469"/>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row>
    <row r="146" spans="2:40" x14ac:dyDescent="0.2">
      <c r="B146" s="470" t="s">
        <v>513</v>
      </c>
      <c r="C146" s="459"/>
      <c r="D146" s="460"/>
      <c r="E146" s="460"/>
      <c r="F146" s="460"/>
      <c r="G146" s="460"/>
      <c r="H146" s="460"/>
      <c r="I146" s="460"/>
      <c r="J146" s="460"/>
      <c r="K146" s="460"/>
      <c r="L146" s="460"/>
      <c r="M146" s="460"/>
      <c r="N146" s="460"/>
      <c r="O146" s="460"/>
      <c r="P146" s="460"/>
      <c r="Q146" s="460"/>
      <c r="R146" s="460"/>
      <c r="S146" s="460"/>
      <c r="T146" s="460"/>
      <c r="U146" s="460"/>
      <c r="V146" s="460"/>
      <c r="W146" s="460"/>
      <c r="X146" s="460"/>
      <c r="Y146" s="460"/>
      <c r="Z146" s="460"/>
      <c r="AA146" s="460"/>
      <c r="AB146" s="460"/>
      <c r="AC146" s="460"/>
      <c r="AD146" s="460"/>
      <c r="AE146" s="460"/>
      <c r="AF146" s="460"/>
      <c r="AG146" s="460"/>
      <c r="AH146" s="460"/>
      <c r="AI146" s="460"/>
      <c r="AJ146" s="460"/>
      <c r="AK146" s="460"/>
      <c r="AL146" s="460"/>
      <c r="AM146" s="460"/>
      <c r="AN146" s="460"/>
    </row>
    <row r="147" spans="2:40" x14ac:dyDescent="0.2">
      <c r="B147" s="470" t="s">
        <v>28</v>
      </c>
      <c r="C147" s="459"/>
      <c r="D147" s="460"/>
      <c r="E147" s="460"/>
      <c r="F147" s="460"/>
      <c r="G147" s="460"/>
      <c r="H147" s="460"/>
      <c r="I147" s="460"/>
      <c r="J147" s="460"/>
      <c r="K147" s="460"/>
      <c r="L147" s="460"/>
      <c r="M147" s="460"/>
      <c r="N147" s="460"/>
      <c r="O147" s="460"/>
      <c r="P147" s="460"/>
      <c r="Q147" s="460"/>
      <c r="R147" s="460"/>
      <c r="S147" s="460"/>
      <c r="T147" s="460"/>
      <c r="U147" s="460"/>
      <c r="V147" s="460"/>
      <c r="W147" s="460"/>
      <c r="X147" s="460"/>
      <c r="Y147" s="460"/>
      <c r="Z147" s="460"/>
      <c r="AA147" s="460"/>
      <c r="AB147" s="460"/>
      <c r="AC147" s="460"/>
      <c r="AD147" s="460"/>
      <c r="AE147" s="460"/>
      <c r="AF147" s="460"/>
      <c r="AG147" s="460"/>
      <c r="AH147" s="460"/>
      <c r="AI147" s="460"/>
      <c r="AJ147" s="460"/>
      <c r="AK147" s="460"/>
      <c r="AL147" s="460"/>
      <c r="AM147" s="460"/>
      <c r="AN147" s="460"/>
    </row>
    <row r="148" spans="2:40" x14ac:dyDescent="0.2">
      <c r="E148" s="467"/>
      <c r="F148" s="467"/>
      <c r="G148" s="467"/>
      <c r="H148" s="467"/>
      <c r="I148" s="467"/>
      <c r="J148" s="467"/>
      <c r="K148" s="467"/>
      <c r="L148" s="467"/>
      <c r="M148" s="467"/>
      <c r="N148" s="467"/>
      <c r="O148" s="467"/>
      <c r="P148" s="467"/>
      <c r="Q148" s="467"/>
      <c r="R148" s="467"/>
      <c r="S148" s="467"/>
      <c r="T148" s="467"/>
      <c r="U148" s="467"/>
      <c r="V148" s="467"/>
      <c r="W148" s="467"/>
      <c r="X148" s="467"/>
      <c r="Y148" s="467"/>
      <c r="Z148" s="467"/>
      <c r="AA148" s="467"/>
      <c r="AB148" s="467"/>
      <c r="AC148" s="467"/>
      <c r="AD148" s="467"/>
      <c r="AE148" s="467"/>
      <c r="AF148" s="467"/>
      <c r="AG148" s="467"/>
      <c r="AH148" s="467"/>
      <c r="AI148" s="467"/>
      <c r="AJ148" s="467"/>
      <c r="AK148" s="467"/>
      <c r="AL148" s="467"/>
      <c r="AM148" s="467"/>
      <c r="AN148" s="467"/>
    </row>
    <row r="149" spans="2:40" x14ac:dyDescent="0.2">
      <c r="B149" s="457" t="s">
        <v>116</v>
      </c>
      <c r="C149" s="457">
        <f>C$2</f>
        <v>1998</v>
      </c>
      <c r="D149" s="457">
        <f t="shared" ref="D149:AN149" si="12">D$2</f>
        <v>1999</v>
      </c>
      <c r="E149" s="457">
        <f t="shared" si="12"/>
        <v>2000</v>
      </c>
      <c r="F149" s="457">
        <f t="shared" si="12"/>
        <v>2001</v>
      </c>
      <c r="G149" s="457">
        <f t="shared" si="12"/>
        <v>2002</v>
      </c>
      <c r="H149" s="457">
        <f t="shared" si="12"/>
        <v>2003</v>
      </c>
      <c r="I149" s="457">
        <f t="shared" si="12"/>
        <v>2004</v>
      </c>
      <c r="J149" s="457">
        <f t="shared" si="12"/>
        <v>2005</v>
      </c>
      <c r="K149" s="457">
        <f t="shared" si="12"/>
        <v>2006</v>
      </c>
      <c r="L149" s="457">
        <f t="shared" si="12"/>
        <v>2007</v>
      </c>
      <c r="M149" s="457">
        <f t="shared" si="12"/>
        <v>2008</v>
      </c>
      <c r="N149" s="457">
        <f t="shared" si="12"/>
        <v>2009</v>
      </c>
      <c r="O149" s="457">
        <f t="shared" si="12"/>
        <v>2010</v>
      </c>
      <c r="P149" s="457">
        <f t="shared" si="12"/>
        <v>2011</v>
      </c>
      <c r="Q149" s="457">
        <f t="shared" si="12"/>
        <v>2012</v>
      </c>
      <c r="R149" s="457">
        <f t="shared" si="12"/>
        <v>2013</v>
      </c>
      <c r="S149" s="457">
        <f t="shared" si="12"/>
        <v>2014</v>
      </c>
      <c r="T149" s="457">
        <f t="shared" si="12"/>
        <v>2015</v>
      </c>
      <c r="U149" s="457">
        <f t="shared" si="12"/>
        <v>2016</v>
      </c>
      <c r="V149" s="457">
        <f t="shared" si="12"/>
        <v>2017</v>
      </c>
      <c r="W149" s="457">
        <f t="shared" si="12"/>
        <v>2018</v>
      </c>
      <c r="X149" s="457">
        <f t="shared" si="12"/>
        <v>2019</v>
      </c>
      <c r="Y149" s="457">
        <f t="shared" si="12"/>
        <v>2020</v>
      </c>
      <c r="Z149" s="457">
        <f t="shared" si="12"/>
        <v>2021</v>
      </c>
      <c r="AA149" s="457">
        <f t="shared" si="12"/>
        <v>2022</v>
      </c>
      <c r="AB149" s="457">
        <f t="shared" si="12"/>
        <v>2023</v>
      </c>
      <c r="AC149" s="457">
        <f t="shared" si="12"/>
        <v>2024</v>
      </c>
      <c r="AD149" s="457">
        <f t="shared" si="12"/>
        <v>2025</v>
      </c>
      <c r="AE149" s="457">
        <f t="shared" si="12"/>
        <v>2026</v>
      </c>
      <c r="AF149" s="457">
        <f t="shared" si="12"/>
        <v>2027</v>
      </c>
      <c r="AG149" s="457">
        <f t="shared" si="12"/>
        <v>2028</v>
      </c>
      <c r="AH149" s="457">
        <f t="shared" si="12"/>
        <v>2029</v>
      </c>
      <c r="AI149" s="457">
        <f t="shared" si="12"/>
        <v>2030</v>
      </c>
      <c r="AJ149" s="457">
        <f t="shared" si="12"/>
        <v>2031</v>
      </c>
      <c r="AK149" s="457">
        <f t="shared" si="12"/>
        <v>2032</v>
      </c>
      <c r="AL149" s="457">
        <f t="shared" si="12"/>
        <v>2033</v>
      </c>
      <c r="AM149" s="457">
        <f t="shared" si="12"/>
        <v>2034</v>
      </c>
      <c r="AN149" s="457">
        <f t="shared" si="12"/>
        <v>2035</v>
      </c>
    </row>
    <row r="150" spans="2:40" x14ac:dyDescent="0.2">
      <c r="C150" s="459"/>
      <c r="D150" s="459"/>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row>
    <row r="151" spans="2:40" x14ac:dyDescent="0.2">
      <c r="B151" s="577" t="s">
        <v>1110</v>
      </c>
      <c r="C151" s="459"/>
      <c r="D151" s="459"/>
      <c r="E151" s="472"/>
      <c r="F151" s="472"/>
      <c r="G151" s="472"/>
      <c r="H151" s="472"/>
      <c r="I151" s="472"/>
      <c r="J151" s="472"/>
      <c r="K151" s="472"/>
      <c r="L151" s="472"/>
      <c r="M151" s="472"/>
      <c r="N151" s="472"/>
      <c r="O151" s="472"/>
      <c r="P151" s="472"/>
      <c r="Q151" s="472"/>
      <c r="R151" s="472"/>
      <c r="S151" s="472"/>
      <c r="T151" s="472"/>
      <c r="U151" s="472"/>
      <c r="V151" s="472"/>
      <c r="W151" s="472"/>
      <c r="X151" s="472"/>
      <c r="Y151" s="472">
        <f>Model!E62</f>
        <v>25875.719000000001</v>
      </c>
      <c r="Z151" s="472">
        <f>Model!F62</f>
        <v>26183.252</v>
      </c>
      <c r="AA151" s="472">
        <f>Model!G62</f>
        <v>24752.362000000001</v>
      </c>
      <c r="AB151" s="472">
        <f>Model!H62</f>
        <v>23910.607</v>
      </c>
      <c r="AC151" s="472">
        <f>Model!I62</f>
        <v>23009.719000000001</v>
      </c>
      <c r="AD151" s="472">
        <f>Model!J62</f>
        <v>23081.961417933344</v>
      </c>
      <c r="AE151" s="472">
        <f>Model!K62</f>
        <v>23148.594784722303</v>
      </c>
      <c r="AF151" s="472">
        <f>Model!L62</f>
        <v>23209.728066073971</v>
      </c>
      <c r="AG151" s="472">
        <f>Model!M62</f>
        <v>23265.468652468171</v>
      </c>
      <c r="AH151" s="472">
        <f>Model!N62</f>
        <v>23315.922378913332</v>
      </c>
      <c r="AI151" s="472">
        <f>Model!O62</f>
        <v>23361.193544474881</v>
      </c>
      <c r="AJ151" s="472">
        <f>Model!P62</f>
        <v>23401.384931578588</v>
      </c>
      <c r="AK151" s="472">
        <f>Model!Q62</f>
        <v>23436.597825091409</v>
      </c>
      <c r="AL151" s="472">
        <f>Model!R62</f>
        <v>23466.932031182092</v>
      </c>
      <c r="AM151" s="472">
        <f>Model!S62</f>
        <v>23492.485895964135</v>
      </c>
      <c r="AN151" s="472">
        <f>Model!T62</f>
        <v>23513.356323923294</v>
      </c>
    </row>
    <row r="152" spans="2:40" x14ac:dyDescent="0.2">
      <c r="B152" s="577" t="s">
        <v>1111</v>
      </c>
      <c r="C152" s="459"/>
      <c r="D152" s="459"/>
      <c r="E152" s="472"/>
      <c r="F152" s="472"/>
      <c r="G152" s="472"/>
      <c r="H152" s="472"/>
      <c r="I152" s="472"/>
      <c r="J152" s="472"/>
      <c r="K152" s="472"/>
      <c r="L152" s="472"/>
      <c r="M152" s="472"/>
      <c r="N152" s="472"/>
      <c r="O152" s="472"/>
      <c r="P152" s="472"/>
      <c r="Q152" s="472"/>
      <c r="R152" s="472"/>
      <c r="S152" s="472"/>
      <c r="T152" s="472"/>
      <c r="U152" s="472"/>
      <c r="V152" s="472"/>
      <c r="W152" s="472"/>
      <c r="X152" s="472"/>
      <c r="Y152" s="472">
        <f>Model!E91</f>
        <v>75</v>
      </c>
      <c r="Z152" s="472">
        <f>Model!F91</f>
        <v>85</v>
      </c>
      <c r="AA152" s="472">
        <f>Model!G91</f>
        <v>95</v>
      </c>
      <c r="AB152" s="472">
        <f>Model!H91</f>
        <v>107</v>
      </c>
      <c r="AC152" s="472">
        <f>Model!I91</f>
        <v>121</v>
      </c>
      <c r="AD152" s="472">
        <f>Model!J91</f>
        <v>145.19999999999999</v>
      </c>
      <c r="AE152" s="472">
        <f>Model!K91</f>
        <v>164.07599999999996</v>
      </c>
      <c r="AF152" s="472">
        <f>Model!L91</f>
        <v>183.76511999999997</v>
      </c>
      <c r="AG152" s="472">
        <f>Model!M91</f>
        <v>203.97928319999997</v>
      </c>
      <c r="AH152" s="472">
        <f>Model!N91</f>
        <v>222.33741868799999</v>
      </c>
      <c r="AI152" s="472">
        <f>Model!O91</f>
        <v>242.34778636992002</v>
      </c>
      <c r="AJ152" s="472">
        <f>Model!P91</f>
        <v>264.15908714321284</v>
      </c>
      <c r="AK152" s="472">
        <f>Model!Q91</f>
        <v>287.933404986102</v>
      </c>
      <c r="AL152" s="472">
        <f>Model!R91</f>
        <v>313.84741143485121</v>
      </c>
      <c r="AM152" s="472">
        <f>Model!S91</f>
        <v>342.09367846398783</v>
      </c>
      <c r="AN152" s="472">
        <f>Model!T91</f>
        <v>372.88210952574678</v>
      </c>
    </row>
    <row r="153" spans="2:40" x14ac:dyDescent="0.2">
      <c r="C153" s="459"/>
      <c r="D153" s="459"/>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row>
    <row r="154" spans="2:40" x14ac:dyDescent="0.2">
      <c r="B154" s="577" t="s">
        <v>1112</v>
      </c>
      <c r="C154" s="459"/>
      <c r="D154" s="459"/>
      <c r="E154" s="472"/>
      <c r="F154" s="472"/>
      <c r="G154" s="472"/>
      <c r="H154" s="472"/>
      <c r="I154" s="472"/>
      <c r="J154" s="472"/>
      <c r="K154" s="472"/>
      <c r="L154" s="472"/>
      <c r="M154" s="472"/>
      <c r="N154" s="472"/>
      <c r="O154" s="472"/>
      <c r="P154" s="472"/>
      <c r="Q154" s="472"/>
      <c r="R154" s="472"/>
      <c r="S154" s="472"/>
      <c r="T154" s="472"/>
      <c r="U154" s="472"/>
      <c r="V154" s="472"/>
      <c r="W154" s="472"/>
      <c r="X154" s="472"/>
      <c r="Y154" s="472">
        <f>Model!E109</f>
        <v>1121.2159999999999</v>
      </c>
      <c r="Z154" s="472">
        <f>Model!F109</f>
        <v>1203.5929999999998</v>
      </c>
      <c r="AA154" s="472">
        <f>Model!G109</f>
        <v>1154.1310000000001</v>
      </c>
      <c r="AB154" s="472">
        <f>Model!H109</f>
        <v>1154.19</v>
      </c>
      <c r="AC154" s="472">
        <f>Model!I109</f>
        <v>1128.6669999999999</v>
      </c>
      <c r="AD154" s="472">
        <f>Model!J109</f>
        <v>1219.4731119679291</v>
      </c>
      <c r="AE154" s="472">
        <f>Model!K109</f>
        <v>1312.4797795081854</v>
      </c>
      <c r="AF154" s="472">
        <f>Model!L109</f>
        <v>1407.6161766360324</v>
      </c>
      <c r="AG154" s="472">
        <f>Model!M109</f>
        <v>1504.8127081909656</v>
      </c>
      <c r="AH154" s="472">
        <f>Model!N109</f>
        <v>1604.0009927688393</v>
      </c>
      <c r="AI154" s="472">
        <f>Model!O109</f>
        <v>1705.1138458635626</v>
      </c>
      <c r="AJ154" s="472">
        <f>Model!P109</f>
        <v>1808.0852632159852</v>
      </c>
      <c r="AK154" s="472">
        <f>Model!Q109</f>
        <v>1912.8504043676201</v>
      </c>
      <c r="AL154" s="472">
        <f>Model!R109</f>
        <v>1993.3708956468583</v>
      </c>
      <c r="AM154" s="472">
        <f>Model!S109</f>
        <v>2074.8098464317354</v>
      </c>
      <c r="AN154" s="472">
        <f>Model!T109</f>
        <v>2157.1287743803837</v>
      </c>
    </row>
    <row r="155" spans="2:40" x14ac:dyDescent="0.2">
      <c r="B155" s="577" t="s">
        <v>1113</v>
      </c>
      <c r="C155" s="459"/>
      <c r="D155" s="459"/>
      <c r="E155" s="472"/>
      <c r="F155" s="472"/>
      <c r="G155" s="472"/>
      <c r="H155" s="472"/>
      <c r="I155" s="472"/>
      <c r="J155" s="472"/>
      <c r="K155" s="472"/>
      <c r="L155" s="472"/>
      <c r="M155" s="472"/>
      <c r="N155" s="472"/>
      <c r="O155" s="472"/>
      <c r="P155" s="472"/>
      <c r="Q155" s="472"/>
      <c r="R155" s="472"/>
      <c r="S155" s="472"/>
      <c r="T155" s="472"/>
      <c r="U155" s="472"/>
      <c r="V155" s="472"/>
      <c r="W155" s="472"/>
      <c r="X155" s="472"/>
      <c r="Y155" s="472">
        <f>Model!E137</f>
        <v>0</v>
      </c>
      <c r="Z155" s="472">
        <f>Model!F137</f>
        <v>133.29145524571408</v>
      </c>
      <c r="AA155" s="472">
        <f>Model!G137</f>
        <v>129.6666157352505</v>
      </c>
      <c r="AB155" s="472">
        <f>Model!H137</f>
        <v>128.07646608524132</v>
      </c>
      <c r="AC155" s="472">
        <f>Model!I137</f>
        <v>142.41034468504449</v>
      </c>
      <c r="AD155" s="472">
        <f>Model!J137</f>
        <v>152.37906881299762</v>
      </c>
      <c r="AE155" s="472">
        <f>Model!K137</f>
        <v>163.04560362990745</v>
      </c>
      <c r="AF155" s="472">
        <f>Model!L137</f>
        <v>174.45879588400098</v>
      </c>
      <c r="AG155" s="472">
        <f>Model!M137</f>
        <v>186.67091159588105</v>
      </c>
      <c r="AH155" s="472">
        <f>Model!N137</f>
        <v>199.73787540759272</v>
      </c>
      <c r="AI155" s="472">
        <f>Model!O137</f>
        <v>213.71952668612423</v>
      </c>
      <c r="AJ155" s="472">
        <f>Model!P137</f>
        <v>228.67989355415293</v>
      </c>
      <c r="AK155" s="472">
        <f>Model!Q137</f>
        <v>244.68748610294364</v>
      </c>
      <c r="AL155" s="472">
        <f>Model!R137</f>
        <v>261.81561013014971</v>
      </c>
      <c r="AM155" s="472">
        <f>Model!S137</f>
        <v>280.14270283926021</v>
      </c>
      <c r="AN155" s="472">
        <f>Model!T137</f>
        <v>299.75269203800843</v>
      </c>
    </row>
    <row r="156" spans="2:40" x14ac:dyDescent="0.2">
      <c r="E156" s="467"/>
      <c r="F156" s="467"/>
      <c r="G156" s="467"/>
      <c r="H156" s="467"/>
      <c r="I156" s="467"/>
      <c r="J156" s="467"/>
      <c r="K156" s="467"/>
      <c r="L156" s="467"/>
      <c r="M156" s="467"/>
      <c r="N156" s="467"/>
      <c r="O156" s="467"/>
      <c r="P156" s="467"/>
      <c r="Q156" s="467"/>
      <c r="R156" s="467"/>
      <c r="S156" s="467"/>
      <c r="T156" s="467"/>
      <c r="U156" s="467"/>
      <c r="V156" s="467"/>
      <c r="W156" s="467"/>
      <c r="X156" s="467"/>
      <c r="Y156" s="467"/>
      <c r="Z156" s="467"/>
      <c r="AA156" s="467"/>
      <c r="AB156" s="467"/>
      <c r="AC156" s="467"/>
      <c r="AD156" s="467"/>
      <c r="AE156" s="467"/>
      <c r="AF156" s="467"/>
      <c r="AG156" s="467"/>
      <c r="AH156" s="467"/>
      <c r="AI156" s="467"/>
      <c r="AJ156" s="467"/>
      <c r="AK156" s="467"/>
      <c r="AL156" s="467"/>
      <c r="AM156" s="467"/>
      <c r="AN156" s="467"/>
    </row>
    <row r="157" spans="2:40" x14ac:dyDescent="0.2">
      <c r="B157" s="473" t="s">
        <v>947</v>
      </c>
      <c r="C157" s="457">
        <f>C$2</f>
        <v>1998</v>
      </c>
      <c r="D157" s="457">
        <f t="shared" ref="D157:AN157" si="13">D$2</f>
        <v>1999</v>
      </c>
      <c r="E157" s="457">
        <f t="shared" si="13"/>
        <v>2000</v>
      </c>
      <c r="F157" s="457">
        <f t="shared" si="13"/>
        <v>2001</v>
      </c>
      <c r="G157" s="457">
        <f t="shared" si="13"/>
        <v>2002</v>
      </c>
      <c r="H157" s="457">
        <f t="shared" si="13"/>
        <v>2003</v>
      </c>
      <c r="I157" s="457">
        <f t="shared" si="13"/>
        <v>2004</v>
      </c>
      <c r="J157" s="457">
        <f t="shared" si="13"/>
        <v>2005</v>
      </c>
      <c r="K157" s="457">
        <f t="shared" si="13"/>
        <v>2006</v>
      </c>
      <c r="L157" s="457">
        <f t="shared" si="13"/>
        <v>2007</v>
      </c>
      <c r="M157" s="457">
        <f t="shared" si="13"/>
        <v>2008</v>
      </c>
      <c r="N157" s="457">
        <f t="shared" si="13"/>
        <v>2009</v>
      </c>
      <c r="O157" s="457">
        <f t="shared" si="13"/>
        <v>2010</v>
      </c>
      <c r="P157" s="457">
        <f t="shared" si="13"/>
        <v>2011</v>
      </c>
      <c r="Q157" s="457">
        <f t="shared" si="13"/>
        <v>2012</v>
      </c>
      <c r="R157" s="457">
        <f t="shared" si="13"/>
        <v>2013</v>
      </c>
      <c r="S157" s="457">
        <f t="shared" si="13"/>
        <v>2014</v>
      </c>
      <c r="T157" s="457">
        <f t="shared" si="13"/>
        <v>2015</v>
      </c>
      <c r="U157" s="457">
        <f t="shared" si="13"/>
        <v>2016</v>
      </c>
      <c r="V157" s="457">
        <f t="shared" si="13"/>
        <v>2017</v>
      </c>
      <c r="W157" s="457">
        <f t="shared" si="13"/>
        <v>2018</v>
      </c>
      <c r="X157" s="457">
        <f t="shared" si="13"/>
        <v>2019</v>
      </c>
      <c r="Y157" s="457">
        <f t="shared" si="13"/>
        <v>2020</v>
      </c>
      <c r="Z157" s="457">
        <f t="shared" si="13"/>
        <v>2021</v>
      </c>
      <c r="AA157" s="457">
        <f t="shared" si="13"/>
        <v>2022</v>
      </c>
      <c r="AB157" s="457">
        <f t="shared" si="13"/>
        <v>2023</v>
      </c>
      <c r="AC157" s="457">
        <f t="shared" si="13"/>
        <v>2024</v>
      </c>
      <c r="AD157" s="457">
        <f t="shared" si="13"/>
        <v>2025</v>
      </c>
      <c r="AE157" s="457">
        <f t="shared" si="13"/>
        <v>2026</v>
      </c>
      <c r="AF157" s="457">
        <f t="shared" si="13"/>
        <v>2027</v>
      </c>
      <c r="AG157" s="457">
        <f t="shared" si="13"/>
        <v>2028</v>
      </c>
      <c r="AH157" s="457">
        <f t="shared" si="13"/>
        <v>2029</v>
      </c>
      <c r="AI157" s="457">
        <f t="shared" si="13"/>
        <v>2030</v>
      </c>
      <c r="AJ157" s="457">
        <f t="shared" si="13"/>
        <v>2031</v>
      </c>
      <c r="AK157" s="457">
        <f t="shared" si="13"/>
        <v>2032</v>
      </c>
      <c r="AL157" s="457">
        <f t="shared" si="13"/>
        <v>2033</v>
      </c>
      <c r="AM157" s="457">
        <f t="shared" si="13"/>
        <v>2034</v>
      </c>
      <c r="AN157" s="457">
        <f t="shared" si="13"/>
        <v>2035</v>
      </c>
    </row>
    <row r="158" spans="2:40" x14ac:dyDescent="0.2">
      <c r="B158" s="474" t="s">
        <v>124</v>
      </c>
      <c r="C158" s="485"/>
      <c r="D158" s="485"/>
      <c r="E158" s="485"/>
      <c r="F158" s="485"/>
      <c r="G158" s="485"/>
      <c r="H158" s="485"/>
      <c r="I158" s="485"/>
      <c r="J158" s="485"/>
      <c r="K158" s="485"/>
      <c r="L158" s="485"/>
      <c r="M158" s="485"/>
      <c r="N158" s="485"/>
      <c r="O158" s="485"/>
      <c r="P158" s="485"/>
      <c r="Q158" s="485"/>
      <c r="R158" s="485"/>
      <c r="S158" s="485"/>
      <c r="T158" s="485"/>
      <c r="U158" s="485"/>
      <c r="V158" s="485"/>
      <c r="W158" s="485"/>
      <c r="X158" s="485"/>
      <c r="Y158" s="485"/>
      <c r="Z158" s="485"/>
      <c r="AA158" s="485"/>
      <c r="AB158" s="485"/>
      <c r="AC158" s="485">
        <f>Model!I799</f>
        <v>515</v>
      </c>
      <c r="AD158" s="485">
        <f>Model!J799</f>
        <v>547.65010666301589</v>
      </c>
      <c r="AE158" s="485">
        <f>Model!K799</f>
        <v>578.13719057715707</v>
      </c>
      <c r="AF158" s="485">
        <f>Model!L799</f>
        <v>604.69953336051503</v>
      </c>
      <c r="AG158" s="485">
        <f>Model!M799</f>
        <v>633.00867897290664</v>
      </c>
      <c r="AH158" s="485">
        <f>Model!N799</f>
        <v>656.55213680794304</v>
      </c>
      <c r="AI158" s="485">
        <f>Model!O799</f>
        <v>683.6012785845636</v>
      </c>
      <c r="AJ158" s="485">
        <f>Model!P799</f>
        <v>717.57000555555305</v>
      </c>
      <c r="AK158" s="485">
        <f>Model!Q799</f>
        <v>753.09597133815851</v>
      </c>
      <c r="AL158" s="485">
        <f>Model!R799</f>
        <v>789.90272642346849</v>
      </c>
      <c r="AM158" s="485">
        <f>Model!S799</f>
        <v>828.01657399953524</v>
      </c>
      <c r="AN158" s="485">
        <f>Model!T799</f>
        <v>867.82060766667269</v>
      </c>
    </row>
    <row r="159" spans="2:40" x14ac:dyDescent="0.2">
      <c r="B159" s="474" t="s">
        <v>948</v>
      </c>
      <c r="C159" s="485"/>
      <c r="D159" s="485"/>
      <c r="E159" s="485"/>
      <c r="F159" s="485"/>
      <c r="G159" s="485"/>
      <c r="H159" s="485"/>
      <c r="I159" s="485"/>
      <c r="J159" s="485"/>
      <c r="K159" s="485"/>
      <c r="L159" s="485"/>
      <c r="M159" s="485"/>
      <c r="N159" s="485"/>
      <c r="O159" s="485"/>
      <c r="P159" s="485"/>
      <c r="Q159" s="485"/>
      <c r="R159" s="485"/>
      <c r="S159" s="485"/>
      <c r="T159" s="485"/>
      <c r="U159" s="485"/>
      <c r="V159" s="485"/>
      <c r="W159" s="485"/>
      <c r="X159" s="485"/>
      <c r="Y159" s="485"/>
      <c r="Z159" s="485"/>
      <c r="AA159" s="485"/>
      <c r="AB159" s="485"/>
      <c r="AC159" s="485">
        <f>Model!I800</f>
        <v>39</v>
      </c>
      <c r="AD159" s="485">
        <f>Model!J800</f>
        <v>45.047882674005649</v>
      </c>
      <c r="AE159" s="485">
        <f>Model!K800</f>
        <v>27.617278930206599</v>
      </c>
      <c r="AF159" s="485">
        <f>Model!L800</f>
        <v>28.826156413259049</v>
      </c>
      <c r="AG159" s="485">
        <f>Model!M800</f>
        <v>25.399728485135164</v>
      </c>
      <c r="AH159" s="485">
        <f>Model!N800</f>
        <v>19.05113265209928</v>
      </c>
      <c r="AI159" s="485">
        <f>Model!O800</f>
        <v>18.379641401072675</v>
      </c>
      <c r="AJ159" s="485">
        <f>Model!P800</f>
        <v>15.5692268430947</v>
      </c>
      <c r="AK159" s="485">
        <f>Model!Q800</f>
        <v>16.282971703996367</v>
      </c>
      <c r="AL159" s="485">
        <f>Model!R800</f>
        <v>16.87000869272579</v>
      </c>
      <c r="AM159" s="485">
        <f>Model!S800</f>
        <v>17.46910148507196</v>
      </c>
      <c r="AN159" s="485">
        <f>Model!T800</f>
        <v>18.243781404086732</v>
      </c>
    </row>
    <row r="160" spans="2:40" x14ac:dyDescent="0.2">
      <c r="B160" s="474" t="s">
        <v>949</v>
      </c>
      <c r="C160" s="485"/>
      <c r="D160" s="485"/>
      <c r="E160" s="485"/>
      <c r="F160" s="485"/>
      <c r="G160" s="485"/>
      <c r="H160" s="485"/>
      <c r="I160" s="485"/>
      <c r="J160" s="485"/>
      <c r="K160" s="485"/>
      <c r="L160" s="485"/>
      <c r="M160" s="485"/>
      <c r="N160" s="485"/>
      <c r="O160" s="485"/>
      <c r="P160" s="485"/>
      <c r="Q160" s="485"/>
      <c r="R160" s="485"/>
      <c r="S160" s="485"/>
      <c r="T160" s="485"/>
      <c r="U160" s="485"/>
      <c r="V160" s="485"/>
      <c r="W160" s="485"/>
      <c r="X160" s="485"/>
      <c r="Y160" s="485"/>
      <c r="Z160" s="485"/>
      <c r="AA160" s="485"/>
      <c r="AB160" s="485"/>
      <c r="AC160" s="485">
        <f>Model!I801</f>
        <v>-64</v>
      </c>
      <c r="AD160" s="485">
        <f>Model!J801</f>
        <v>-67.309050377070932</v>
      </c>
      <c r="AE160" s="485">
        <f>Model!K801</f>
        <v>-77.52865012593621</v>
      </c>
      <c r="AF160" s="485">
        <f>Model!L801</f>
        <v>-81.368596029325474</v>
      </c>
      <c r="AG160" s="485">
        <f>Model!M801</f>
        <v>-86.750162132995939</v>
      </c>
      <c r="AH160" s="485">
        <f>Model!N801</f>
        <v>-92.488056164257472</v>
      </c>
      <c r="AI160" s="485">
        <f>Model!O801</f>
        <v>-96.874862060471216</v>
      </c>
      <c r="AJ160" s="485">
        <f>Model!P801</f>
        <v>-105.90139196422972</v>
      </c>
      <c r="AK160" s="485">
        <f>Model!Q801</f>
        <v>-116.19482938115307</v>
      </c>
      <c r="AL160" s="485">
        <f>Model!R801</f>
        <v>-127.92276554549579</v>
      </c>
      <c r="AM160" s="485">
        <f>Model!S801</f>
        <v>-138.06488962802177</v>
      </c>
      <c r="AN160" s="485">
        <f>Model!T801</f>
        <v>-151.98732035156794</v>
      </c>
    </row>
    <row r="161" spans="2:40" x14ac:dyDescent="0.2">
      <c r="B161" s="474" t="s">
        <v>350</v>
      </c>
      <c r="C161" s="485"/>
      <c r="D161" s="485"/>
      <c r="E161" s="485"/>
      <c r="F161" s="485"/>
      <c r="G161" s="485"/>
      <c r="H161" s="485"/>
      <c r="I161" s="485"/>
      <c r="J161" s="485"/>
      <c r="K161" s="485"/>
      <c r="L161" s="485"/>
      <c r="M161" s="485"/>
      <c r="N161" s="485"/>
      <c r="O161" s="485"/>
      <c r="P161" s="485"/>
      <c r="Q161" s="485"/>
      <c r="R161" s="485"/>
      <c r="S161" s="485"/>
      <c r="T161" s="485"/>
      <c r="U161" s="485"/>
      <c r="V161" s="485"/>
      <c r="W161" s="485"/>
      <c r="X161" s="485"/>
      <c r="Y161" s="485"/>
      <c r="Z161" s="485"/>
      <c r="AA161" s="485"/>
      <c r="AB161" s="485"/>
      <c r="AC161" s="485">
        <f>Model!I802</f>
        <v>-221</v>
      </c>
      <c r="AD161" s="485">
        <f>Model!J802</f>
        <v>-238.39886056849463</v>
      </c>
      <c r="AE161" s="485">
        <f>Model!K802</f>
        <v>-255.16108948720267</v>
      </c>
      <c r="AF161" s="485">
        <f>Model!L802</f>
        <v>-270.75450094338424</v>
      </c>
      <c r="AG161" s="485">
        <f>Model!M802</f>
        <v>-280.38625438271231</v>
      </c>
      <c r="AH161" s="485">
        <f>Model!N802</f>
        <v>-285.15200349433542</v>
      </c>
      <c r="AI161" s="485">
        <f>Model!O802</f>
        <v>-289.64517412400414</v>
      </c>
      <c r="AJ161" s="485">
        <f>Model!P802</f>
        <v>-293.8276607435605</v>
      </c>
      <c r="AK161" s="485">
        <f>Model!Q802</f>
        <v>-297.65896658582574</v>
      </c>
      <c r="AL161" s="485">
        <f>Model!R802</f>
        <v>-300.96728600841493</v>
      </c>
      <c r="AM161" s="485">
        <f>Model!S802</f>
        <v>-315.48935420818657</v>
      </c>
      <c r="AN161" s="485">
        <f>Model!T802</f>
        <v>-330.6554140080151</v>
      </c>
    </row>
    <row r="162" spans="2:40" x14ac:dyDescent="0.2">
      <c r="B162" s="474" t="s">
        <v>376</v>
      </c>
      <c r="C162" s="485"/>
      <c r="D162" s="485"/>
      <c r="E162" s="485"/>
      <c r="F162" s="485"/>
      <c r="G162" s="485"/>
      <c r="H162" s="485"/>
      <c r="I162" s="485"/>
      <c r="J162" s="485"/>
      <c r="K162" s="485"/>
      <c r="L162" s="485"/>
      <c r="M162" s="485"/>
      <c r="N162" s="485"/>
      <c r="O162" s="485"/>
      <c r="P162" s="485"/>
      <c r="Q162" s="485"/>
      <c r="R162" s="485"/>
      <c r="S162" s="485"/>
      <c r="T162" s="485"/>
      <c r="U162" s="485"/>
      <c r="V162" s="485"/>
      <c r="W162" s="485"/>
      <c r="X162" s="485"/>
      <c r="Y162" s="485"/>
      <c r="Z162" s="485"/>
      <c r="AA162" s="485"/>
      <c r="AB162" s="485"/>
      <c r="AC162" s="485">
        <f>Model!I803</f>
        <v>0</v>
      </c>
      <c r="AD162" s="485">
        <f>Model!J803</f>
        <v>0</v>
      </c>
      <c r="AE162" s="485">
        <f>Model!K803</f>
        <v>0</v>
      </c>
      <c r="AF162" s="485">
        <f>Model!L803</f>
        <v>0</v>
      </c>
      <c r="AG162" s="485">
        <f>Model!M803</f>
        <v>0</v>
      </c>
      <c r="AH162" s="485">
        <f>Model!N803</f>
        <v>0</v>
      </c>
      <c r="AI162" s="485">
        <f>Model!O803</f>
        <v>0</v>
      </c>
      <c r="AJ162" s="485">
        <f>Model!P803</f>
        <v>0</v>
      </c>
      <c r="AK162" s="485">
        <f>Model!Q803</f>
        <v>0</v>
      </c>
      <c r="AL162" s="485">
        <f>Model!R803</f>
        <v>0</v>
      </c>
      <c r="AM162" s="485">
        <f>Model!S803</f>
        <v>0</v>
      </c>
      <c r="AN162" s="485">
        <f>Model!T803</f>
        <v>0</v>
      </c>
    </row>
    <row r="163" spans="2:40" x14ac:dyDescent="0.2">
      <c r="B163" s="474" t="s">
        <v>950</v>
      </c>
      <c r="C163" s="485"/>
      <c r="D163" s="485"/>
      <c r="E163" s="485"/>
      <c r="F163" s="485"/>
      <c r="G163" s="485"/>
      <c r="H163" s="485"/>
      <c r="I163" s="485"/>
      <c r="J163" s="485"/>
      <c r="K163" s="485"/>
      <c r="L163" s="485"/>
      <c r="M163" s="485"/>
      <c r="N163" s="485"/>
      <c r="O163" s="485"/>
      <c r="P163" s="485"/>
      <c r="Q163" s="485"/>
      <c r="R163" s="485"/>
      <c r="S163" s="485"/>
      <c r="T163" s="485"/>
      <c r="U163" s="485"/>
      <c r="V163" s="485"/>
      <c r="W163" s="485"/>
      <c r="X163" s="485"/>
      <c r="Y163" s="485"/>
      <c r="Z163" s="485"/>
      <c r="AA163" s="485"/>
      <c r="AB163" s="485"/>
      <c r="AC163" s="485">
        <f>Model!I804</f>
        <v>0</v>
      </c>
      <c r="AD163" s="485">
        <f>Model!J804</f>
        <v>0</v>
      </c>
      <c r="AE163" s="485">
        <f>Model!K804</f>
        <v>0</v>
      </c>
      <c r="AF163" s="485">
        <f>Model!L804</f>
        <v>0</v>
      </c>
      <c r="AG163" s="485">
        <f>Model!M804</f>
        <v>0</v>
      </c>
      <c r="AH163" s="485">
        <f>Model!N804</f>
        <v>0</v>
      </c>
      <c r="AI163" s="485">
        <f>Model!O804</f>
        <v>0</v>
      </c>
      <c r="AJ163" s="485">
        <f>Model!P804</f>
        <v>0</v>
      </c>
      <c r="AK163" s="485">
        <f>Model!Q804</f>
        <v>0</v>
      </c>
      <c r="AL163" s="485">
        <f>Model!R804</f>
        <v>0</v>
      </c>
      <c r="AM163" s="485">
        <f>Model!S804</f>
        <v>0</v>
      </c>
      <c r="AN163" s="485">
        <f>Model!T804</f>
        <v>0</v>
      </c>
    </row>
    <row r="164" spans="2:40" x14ac:dyDescent="0.2">
      <c r="B164" s="474" t="s">
        <v>27</v>
      </c>
      <c r="C164" s="485"/>
      <c r="D164" s="485"/>
      <c r="E164" s="485"/>
      <c r="F164" s="485"/>
      <c r="G164" s="485"/>
      <c r="H164" s="485"/>
      <c r="I164" s="485"/>
      <c r="J164" s="485"/>
      <c r="K164" s="485"/>
      <c r="L164" s="485"/>
      <c r="M164" s="485"/>
      <c r="N164" s="485"/>
      <c r="O164" s="485"/>
      <c r="P164" s="485"/>
      <c r="Q164" s="485"/>
      <c r="R164" s="485"/>
      <c r="S164" s="485"/>
      <c r="T164" s="485"/>
      <c r="U164" s="485"/>
      <c r="V164" s="485"/>
      <c r="W164" s="485"/>
      <c r="X164" s="485"/>
      <c r="Y164" s="485"/>
      <c r="Z164" s="485"/>
      <c r="AA164" s="485"/>
      <c r="AB164" s="485"/>
      <c r="AC164" s="485"/>
      <c r="AD164" s="485"/>
      <c r="AE164" s="485"/>
      <c r="AF164" s="485"/>
      <c r="AG164" s="485"/>
      <c r="AH164" s="485"/>
      <c r="AI164" s="485"/>
      <c r="AJ164" s="485"/>
      <c r="AK164" s="485"/>
      <c r="AL164" s="485"/>
      <c r="AM164" s="485"/>
      <c r="AN164" s="485"/>
    </row>
    <row r="165" spans="2:40" x14ac:dyDescent="0.2">
      <c r="B165" s="475" t="s">
        <v>951</v>
      </c>
      <c r="C165" s="487"/>
      <c r="D165" s="487"/>
      <c r="E165" s="487"/>
      <c r="F165" s="487"/>
      <c r="G165" s="487"/>
      <c r="H165" s="487"/>
      <c r="I165" s="487"/>
      <c r="J165" s="487"/>
      <c r="K165" s="487"/>
      <c r="L165" s="487"/>
      <c r="M165" s="487"/>
      <c r="N165" s="487"/>
      <c r="O165" s="487"/>
      <c r="P165" s="487"/>
      <c r="Q165" s="487"/>
      <c r="R165" s="487"/>
      <c r="S165" s="487"/>
      <c r="T165" s="487"/>
      <c r="U165" s="487"/>
      <c r="V165" s="487"/>
      <c r="W165" s="487"/>
      <c r="X165" s="487"/>
      <c r="Y165" s="487"/>
      <c r="Z165" s="487"/>
      <c r="AA165" s="487"/>
      <c r="AB165" s="487"/>
      <c r="AC165" s="487">
        <f>Model!I805</f>
        <v>269</v>
      </c>
      <c r="AD165" s="487">
        <f>Model!J805</f>
        <v>286.99007839145605</v>
      </c>
      <c r="AE165" s="487">
        <f>Model!K805</f>
        <v>273.06472989422474</v>
      </c>
      <c r="AF165" s="487">
        <f>Model!L805</f>
        <v>281.40259280106437</v>
      </c>
      <c r="AG165" s="487">
        <f>Model!M805</f>
        <v>291.27199094233356</v>
      </c>
      <c r="AH165" s="487">
        <f>Model!N805</f>
        <v>297.96320980144935</v>
      </c>
      <c r="AI165" s="487">
        <f>Model!O805</f>
        <v>315.460883801161</v>
      </c>
      <c r="AJ165" s="487">
        <f>Model!P805</f>
        <v>333.4101796908576</v>
      </c>
      <c r="AK165" s="487">
        <f>Model!Q805</f>
        <v>355.52514707517605</v>
      </c>
      <c r="AL165" s="487">
        <f>Model!R805</f>
        <v>377.88268356228355</v>
      </c>
      <c r="AM165" s="487">
        <f>Model!S805</f>
        <v>391.93143164839887</v>
      </c>
      <c r="AN165" s="487">
        <f>Model!T805</f>
        <v>403.4216547111763</v>
      </c>
    </row>
    <row r="166" spans="2:40" x14ac:dyDescent="0.2">
      <c r="B166" s="474" t="s">
        <v>378</v>
      </c>
      <c r="C166" s="485"/>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f>Model!I806</f>
        <v>-42</v>
      </c>
      <c r="AD166" s="485">
        <f>Model!J806</f>
        <v>-18.199449757631342</v>
      </c>
      <c r="AE166" s="485">
        <f>Model!K806</f>
        <v>31.60374190198392</v>
      </c>
      <c r="AF166" s="485">
        <f>Model!L806</f>
        <v>51.389505163884252</v>
      </c>
      <c r="AG166" s="485">
        <f>Model!M806</f>
        <v>73.389114003806881</v>
      </c>
      <c r="AH166" s="485">
        <f>Model!N806</f>
        <v>98.218036780149845</v>
      </c>
      <c r="AI166" s="485">
        <f>Model!O806</f>
        <v>126.11496061949902</v>
      </c>
      <c r="AJ166" s="485">
        <f>Model!P806</f>
        <v>158.24159734872609</v>
      </c>
      <c r="AK166" s="485">
        <f>Model!Q806</f>
        <v>195.05929463183102</v>
      </c>
      <c r="AL166" s="485">
        <f>Model!R806</f>
        <v>237.42443032256477</v>
      </c>
      <c r="AM166" s="485">
        <f>Model!S806</f>
        <v>285.9162426934347</v>
      </c>
      <c r="AN166" s="485">
        <f>Model!T806</f>
        <v>339.8474216774016</v>
      </c>
    </row>
    <row r="167" spans="2:40" x14ac:dyDescent="0.2">
      <c r="B167" s="474" t="s">
        <v>952</v>
      </c>
      <c r="C167" s="485"/>
      <c r="D167" s="485"/>
      <c r="E167" s="485"/>
      <c r="F167" s="485"/>
      <c r="G167" s="485"/>
      <c r="H167" s="485"/>
      <c r="I167" s="485"/>
      <c r="J167" s="485"/>
      <c r="K167" s="485"/>
      <c r="L167" s="485"/>
      <c r="M167" s="485"/>
      <c r="N167" s="485"/>
      <c r="O167" s="485"/>
      <c r="P167" s="485"/>
      <c r="Q167" s="485"/>
      <c r="R167" s="485"/>
      <c r="S167" s="485"/>
      <c r="T167" s="485"/>
      <c r="U167" s="485"/>
      <c r="V167" s="485"/>
      <c r="W167" s="485"/>
      <c r="X167" s="485"/>
      <c r="Y167" s="485"/>
      <c r="Z167" s="485"/>
      <c r="AA167" s="485"/>
      <c r="AB167" s="485"/>
      <c r="AC167" s="485">
        <f>Model!I807</f>
        <v>-82</v>
      </c>
      <c r="AD167" s="485">
        <f>Model!J807</f>
        <v>-92.130785438662585</v>
      </c>
      <c r="AE167" s="485">
        <f>Model!K807</f>
        <v>-100.09025668449343</v>
      </c>
      <c r="AF167" s="485">
        <f>Model!L807</f>
        <v>-107.82708158039891</v>
      </c>
      <c r="AG167" s="485">
        <f>Model!M807</f>
        <v>-115.17676276605576</v>
      </c>
      <c r="AH167" s="485">
        <f>Model!N807</f>
        <v>-120.9402439105647</v>
      </c>
      <c r="AI167" s="485">
        <f>Model!O807</f>
        <v>-126.97133470130973</v>
      </c>
      <c r="AJ167" s="485">
        <f>Model!P807</f>
        <v>-133.28064794680475</v>
      </c>
      <c r="AK167" s="485">
        <f>Model!Q807</f>
        <v>-139.87920098244317</v>
      </c>
      <c r="AL167" s="485">
        <f>Model!R807</f>
        <v>-146.71564638652811</v>
      </c>
      <c r="AM167" s="485">
        <f>Model!S807</f>
        <v>-153.7948696837046</v>
      </c>
      <c r="AN167" s="485">
        <f>Model!T807</f>
        <v>-161.18802624958587</v>
      </c>
    </row>
    <row r="168" spans="2:40" s="476" customFormat="1" x14ac:dyDescent="0.2">
      <c r="B168" s="475" t="s">
        <v>953</v>
      </c>
      <c r="C168" s="487"/>
      <c r="D168" s="487"/>
      <c r="E168" s="487"/>
      <c r="F168" s="487"/>
      <c r="G168" s="487"/>
      <c r="H168" s="487"/>
      <c r="I168" s="487"/>
      <c r="J168" s="487"/>
      <c r="K168" s="487"/>
      <c r="L168" s="487"/>
      <c r="M168" s="487"/>
      <c r="N168" s="487"/>
      <c r="O168" s="487"/>
      <c r="P168" s="487"/>
      <c r="Q168" s="487"/>
      <c r="R168" s="487"/>
      <c r="S168" s="487"/>
      <c r="T168" s="487"/>
      <c r="U168" s="487"/>
      <c r="V168" s="487"/>
      <c r="W168" s="487"/>
      <c r="X168" s="487"/>
      <c r="Y168" s="487"/>
      <c r="Z168" s="487"/>
      <c r="AA168" s="487"/>
      <c r="AB168" s="487"/>
      <c r="AC168" s="487">
        <f>Model!I808</f>
        <v>145</v>
      </c>
      <c r="AD168" s="487">
        <f>Model!J808</f>
        <v>176.65984319516213</v>
      </c>
      <c r="AE168" s="487">
        <f>Model!K808</f>
        <v>204.57821511171525</v>
      </c>
      <c r="AF168" s="487">
        <f>Model!L808</f>
        <v>224.96501638454976</v>
      </c>
      <c r="AG168" s="487">
        <f>Model!M808</f>
        <v>249.48434218008467</v>
      </c>
      <c r="AH168" s="487">
        <f>Model!N808</f>
        <v>275.24100267103449</v>
      </c>
      <c r="AI168" s="487">
        <f>Model!O808</f>
        <v>314.60450971935029</v>
      </c>
      <c r="AJ168" s="487">
        <f>Model!P808</f>
        <v>358.37112909277892</v>
      </c>
      <c r="AK168" s="487">
        <f>Model!Q808</f>
        <v>410.70524072456385</v>
      </c>
      <c r="AL168" s="487">
        <f>Model!R808</f>
        <v>468.5914674983203</v>
      </c>
      <c r="AM168" s="487">
        <f>Model!S808</f>
        <v>524.05280465812893</v>
      </c>
      <c r="AN168" s="487">
        <f>Model!T808</f>
        <v>582.08105013899205</v>
      </c>
    </row>
    <row r="169" spans="2:40" x14ac:dyDescent="0.2">
      <c r="B169" s="474" t="s">
        <v>954</v>
      </c>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c r="AD169" s="485"/>
      <c r="AE169" s="485"/>
      <c r="AF169" s="485"/>
      <c r="AG169" s="485"/>
      <c r="AH169" s="485"/>
      <c r="AI169" s="485"/>
      <c r="AJ169" s="485"/>
      <c r="AK169" s="485"/>
      <c r="AL169" s="485"/>
      <c r="AM169" s="485"/>
      <c r="AN169" s="485"/>
    </row>
    <row r="170" spans="2:40" s="476" customFormat="1" ht="13.5" thickBot="1" x14ac:dyDescent="0.25">
      <c r="B170" s="477" t="s">
        <v>955</v>
      </c>
      <c r="C170" s="489"/>
      <c r="D170" s="489"/>
      <c r="E170" s="489"/>
      <c r="F170" s="489"/>
      <c r="G170" s="489"/>
      <c r="H170" s="489"/>
      <c r="I170" s="489"/>
      <c r="J170" s="489"/>
      <c r="K170" s="489"/>
      <c r="L170" s="489"/>
      <c r="M170" s="489"/>
      <c r="N170" s="489"/>
      <c r="O170" s="489"/>
      <c r="P170" s="489"/>
      <c r="Q170" s="489"/>
      <c r="R170" s="489"/>
      <c r="S170" s="489"/>
      <c r="T170" s="489"/>
      <c r="U170" s="489"/>
      <c r="V170" s="489"/>
      <c r="W170" s="489"/>
      <c r="X170" s="489"/>
      <c r="Y170" s="489"/>
      <c r="Z170" s="489"/>
      <c r="AA170" s="489"/>
      <c r="AB170" s="489"/>
      <c r="AC170" s="489">
        <f>SUM(AC168:AC169)</f>
        <v>145</v>
      </c>
      <c r="AD170" s="489">
        <f t="shared" ref="AD170:AN170" si="14">SUM(AD168:AD169)</f>
        <v>176.65984319516213</v>
      </c>
      <c r="AE170" s="489">
        <f t="shared" si="14"/>
        <v>204.57821511171525</v>
      </c>
      <c r="AF170" s="489">
        <f t="shared" si="14"/>
        <v>224.96501638454976</v>
      </c>
      <c r="AG170" s="489">
        <f t="shared" si="14"/>
        <v>249.48434218008467</v>
      </c>
      <c r="AH170" s="489">
        <f t="shared" si="14"/>
        <v>275.24100267103449</v>
      </c>
      <c r="AI170" s="489">
        <f t="shared" si="14"/>
        <v>314.60450971935029</v>
      </c>
      <c r="AJ170" s="489">
        <f t="shared" si="14"/>
        <v>358.37112909277892</v>
      </c>
      <c r="AK170" s="489">
        <f t="shared" si="14"/>
        <v>410.70524072456385</v>
      </c>
      <c r="AL170" s="489">
        <f t="shared" si="14"/>
        <v>468.5914674983203</v>
      </c>
      <c r="AM170" s="489">
        <f t="shared" si="14"/>
        <v>524.05280465812893</v>
      </c>
      <c r="AN170" s="489">
        <f t="shared" si="14"/>
        <v>582.08105013899205</v>
      </c>
    </row>
    <row r="171" spans="2:40" ht="13.5" thickTop="1" x14ac:dyDescent="0.2">
      <c r="B171" s="474"/>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485"/>
      <c r="AF171" s="485"/>
      <c r="AG171" s="485"/>
      <c r="AH171" s="485"/>
      <c r="AI171" s="485"/>
      <c r="AJ171" s="485"/>
      <c r="AK171" s="485"/>
      <c r="AL171" s="485"/>
      <c r="AM171" s="485"/>
      <c r="AN171" s="485"/>
    </row>
    <row r="172" spans="2:40" x14ac:dyDescent="0.2">
      <c r="B172" s="474" t="s">
        <v>264</v>
      </c>
      <c r="C172" s="485"/>
      <c r="D172" s="485"/>
      <c r="E172" s="485"/>
      <c r="F172" s="485"/>
      <c r="G172" s="485"/>
      <c r="H172" s="485"/>
      <c r="I172" s="485"/>
      <c r="J172" s="485"/>
      <c r="K172" s="485"/>
      <c r="L172" s="485"/>
      <c r="M172" s="485"/>
      <c r="N172" s="485"/>
      <c r="O172" s="485"/>
      <c r="P172" s="485"/>
      <c r="Q172" s="485"/>
      <c r="R172" s="485"/>
      <c r="S172" s="485"/>
      <c r="T172" s="485"/>
      <c r="U172" s="485"/>
      <c r="V172" s="485"/>
      <c r="W172" s="485"/>
      <c r="X172" s="485"/>
      <c r="Y172" s="485"/>
      <c r="Z172" s="485"/>
      <c r="AA172" s="485"/>
      <c r="AB172" s="485"/>
      <c r="AC172" s="485">
        <f>-Model!I509</f>
        <v>0</v>
      </c>
      <c r="AD172" s="485">
        <f>-Model!J509</f>
        <v>0</v>
      </c>
      <c r="AE172" s="485">
        <f>-Model!K509</f>
        <v>0</v>
      </c>
      <c r="AF172" s="485">
        <f>-Model!L509</f>
        <v>0</v>
      </c>
      <c r="AG172" s="485">
        <f>-Model!M509</f>
        <v>0</v>
      </c>
      <c r="AH172" s="485">
        <f>-Model!N509</f>
        <v>0</v>
      </c>
      <c r="AI172" s="485">
        <f>-Model!O509</f>
        <v>0</v>
      </c>
      <c r="AJ172" s="485">
        <f>-Model!P509</f>
        <v>0</v>
      </c>
      <c r="AK172" s="485">
        <f>-Model!Q509</f>
        <v>0</v>
      </c>
      <c r="AL172" s="485">
        <f>-Model!R509</f>
        <v>0</v>
      </c>
      <c r="AM172" s="485">
        <f>-Model!S509</f>
        <v>0</v>
      </c>
      <c r="AN172" s="485">
        <f>-Model!T509</f>
        <v>0</v>
      </c>
    </row>
    <row r="173" spans="2:40" x14ac:dyDescent="0.2">
      <c r="B173" s="474" t="s">
        <v>263</v>
      </c>
      <c r="C173" s="485"/>
      <c r="D173" s="485"/>
      <c r="E173" s="485"/>
      <c r="F173" s="485"/>
      <c r="G173" s="485"/>
      <c r="H173" s="485"/>
      <c r="I173" s="485"/>
      <c r="J173" s="485"/>
      <c r="K173" s="485"/>
      <c r="L173" s="485"/>
      <c r="M173" s="485"/>
      <c r="N173" s="485"/>
      <c r="O173" s="485"/>
      <c r="P173" s="485"/>
      <c r="Q173" s="485"/>
      <c r="R173" s="485"/>
      <c r="S173" s="485"/>
      <c r="T173" s="485"/>
      <c r="U173" s="485"/>
      <c r="V173" s="485"/>
      <c r="W173" s="485"/>
      <c r="X173" s="485"/>
      <c r="Y173" s="485"/>
      <c r="Z173" s="485"/>
      <c r="AA173" s="485"/>
      <c r="AB173" s="485"/>
      <c r="AC173" s="485">
        <f>-Model!I510</f>
        <v>0</v>
      </c>
      <c r="AD173" s="485">
        <f>-Model!J510</f>
        <v>0</v>
      </c>
      <c r="AE173" s="485">
        <f>-Model!K510</f>
        <v>0</v>
      </c>
      <c r="AF173" s="485">
        <f>-Model!L510</f>
        <v>0</v>
      </c>
      <c r="AG173" s="485">
        <f>-Model!M510</f>
        <v>0</v>
      </c>
      <c r="AH173" s="485">
        <f>-Model!N510</f>
        <v>0</v>
      </c>
      <c r="AI173" s="485">
        <f>-Model!O510</f>
        <v>0</v>
      </c>
      <c r="AJ173" s="485">
        <f>-Model!P510</f>
        <v>0</v>
      </c>
      <c r="AK173" s="485">
        <f>-Model!Q510</f>
        <v>0</v>
      </c>
      <c r="AL173" s="485">
        <f>-Model!R510</f>
        <v>0</v>
      </c>
      <c r="AM173" s="485">
        <f>-Model!S510</f>
        <v>0</v>
      </c>
      <c r="AN173" s="485">
        <f>-Model!T510</f>
        <v>0</v>
      </c>
    </row>
    <row r="177" spans="2:40" x14ac:dyDescent="0.2">
      <c r="B177" s="478"/>
      <c r="C177" s="479"/>
      <c r="D177" s="479"/>
      <c r="E177" s="479"/>
      <c r="F177" s="479"/>
      <c r="G177" s="479"/>
      <c r="H177" s="479"/>
      <c r="I177" s="479"/>
      <c r="J177" s="479"/>
      <c r="K177" s="479"/>
      <c r="L177" s="479"/>
      <c r="M177" s="479"/>
      <c r="N177" s="479"/>
      <c r="O177" s="479"/>
      <c r="P177" s="479"/>
      <c r="Q177" s="479"/>
      <c r="R177" s="479"/>
      <c r="S177" s="479"/>
      <c r="T177" s="479"/>
      <c r="U177" s="479"/>
      <c r="V177" s="479"/>
      <c r="W177" s="479"/>
      <c r="X177" s="479"/>
      <c r="Y177" s="479"/>
      <c r="Z177" s="479"/>
      <c r="AA177" s="479"/>
      <c r="AB177" s="479"/>
      <c r="AC177" s="479"/>
      <c r="AD177" s="479"/>
      <c r="AE177" s="479"/>
      <c r="AF177" s="479"/>
      <c r="AG177" s="479"/>
      <c r="AH177" s="479"/>
      <c r="AI177" s="479"/>
      <c r="AJ177" s="479"/>
      <c r="AK177" s="479"/>
      <c r="AL177" s="479"/>
      <c r="AM177" s="479"/>
      <c r="AN177" s="479"/>
    </row>
    <row r="178" spans="2:40" x14ac:dyDescent="0.2">
      <c r="B178" s="481"/>
      <c r="C178" s="482"/>
      <c r="D178" s="482"/>
      <c r="E178" s="482"/>
      <c r="F178" s="482"/>
      <c r="G178" s="482"/>
      <c r="H178" s="482"/>
      <c r="I178" s="482"/>
      <c r="J178" s="482"/>
      <c r="K178" s="482"/>
      <c r="L178" s="482"/>
      <c r="M178" s="482"/>
      <c r="N178" s="482"/>
      <c r="O178" s="482"/>
      <c r="P178" s="482"/>
      <c r="Q178" s="482"/>
      <c r="R178" s="482"/>
      <c r="S178" s="482"/>
      <c r="T178" s="482"/>
      <c r="U178" s="482"/>
      <c r="V178" s="482"/>
      <c r="W178" s="482"/>
      <c r="X178" s="482"/>
      <c r="Y178" s="482"/>
      <c r="Z178" s="482"/>
      <c r="AA178" s="482"/>
      <c r="AB178" s="482"/>
      <c r="AC178" s="482"/>
      <c r="AD178" s="482"/>
      <c r="AE178" s="482"/>
      <c r="AF178" s="482"/>
      <c r="AG178" s="482"/>
      <c r="AH178" s="482"/>
      <c r="AI178" s="482"/>
      <c r="AJ178" s="482"/>
      <c r="AK178" s="482"/>
      <c r="AL178" s="482"/>
      <c r="AM178" s="482"/>
      <c r="AN178" s="482"/>
    </row>
    <row r="179" spans="2:40" x14ac:dyDescent="0.2">
      <c r="B179" s="481"/>
      <c r="C179" s="482"/>
      <c r="D179" s="482"/>
      <c r="E179" s="482"/>
      <c r="F179" s="482"/>
      <c r="G179" s="482"/>
      <c r="H179" s="482"/>
      <c r="I179" s="482"/>
      <c r="J179" s="482"/>
      <c r="K179" s="482"/>
      <c r="L179" s="482"/>
      <c r="M179" s="482"/>
      <c r="N179" s="482"/>
      <c r="O179" s="482"/>
      <c r="P179" s="482"/>
      <c r="Q179" s="482"/>
      <c r="R179" s="482"/>
      <c r="S179" s="482"/>
      <c r="T179" s="482"/>
      <c r="U179" s="482"/>
      <c r="V179" s="482"/>
      <c r="W179" s="482"/>
      <c r="X179" s="482"/>
      <c r="Y179" s="482"/>
      <c r="Z179" s="482"/>
      <c r="AA179" s="482"/>
      <c r="AB179" s="482"/>
      <c r="AC179" s="482"/>
      <c r="AD179" s="482"/>
      <c r="AE179" s="482"/>
      <c r="AF179" s="482"/>
      <c r="AG179" s="482"/>
      <c r="AH179" s="482"/>
      <c r="AI179" s="482"/>
      <c r="AJ179" s="482"/>
      <c r="AK179" s="482"/>
      <c r="AL179" s="482"/>
      <c r="AM179" s="482"/>
      <c r="AN179" s="482"/>
    </row>
    <row r="180" spans="2:40" x14ac:dyDescent="0.2">
      <c r="B180" s="481"/>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2:40" x14ac:dyDescent="0.2">
      <c r="B181" s="481"/>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2:40" x14ac:dyDescent="0.2">
      <c r="B182" s="481"/>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2:40" x14ac:dyDescent="0.2">
      <c r="B183" s="481"/>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2:40" x14ac:dyDescent="0.2">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2:40" x14ac:dyDescent="0.2">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2:40" x14ac:dyDescent="0.2">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2:40" x14ac:dyDescent="0.2">
      <c r="B187" s="478"/>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2:40" x14ac:dyDescent="0.2">
      <c r="B188" s="481"/>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sheetData>
  <pageMargins left="0.75" right="0.75" top="1" bottom="1" header="0.5" footer="0.5"/>
  <pageSetup scale="22"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D87B-FFB6-4197-A68A-5CBC4581061C}">
  <dimension ref="A2:Y244"/>
  <sheetViews>
    <sheetView topLeftCell="B220" zoomScale="70" zoomScaleNormal="70" workbookViewId="0">
      <selection activeCell="H247" sqref="H247"/>
    </sheetView>
  </sheetViews>
  <sheetFormatPr defaultColWidth="8.85546875" defaultRowHeight="12.75" x14ac:dyDescent="0.2"/>
  <cols>
    <col min="1" max="1" width="2.42578125" style="1" customWidth="1"/>
    <col min="2" max="2" width="10" style="1" bestFit="1" customWidth="1"/>
    <col min="3" max="3" width="29.140625" style="1" customWidth="1"/>
    <col min="4" max="4" width="10.42578125" style="1" bestFit="1" customWidth="1"/>
    <col min="5" max="17" width="9.42578125" style="1" bestFit="1" customWidth="1"/>
    <col min="18" max="16384" width="8.85546875" style="1"/>
  </cols>
  <sheetData>
    <row r="2" spans="1:9" x14ac:dyDescent="0.2">
      <c r="B2" s="34"/>
      <c r="C2" s="34"/>
      <c r="D2" s="34"/>
    </row>
    <row r="3" spans="1:9" x14ac:dyDescent="0.2">
      <c r="B3" s="34" t="s">
        <v>108</v>
      </c>
      <c r="C3" s="34"/>
      <c r="D3" s="33"/>
    </row>
    <row r="8" spans="1:9" x14ac:dyDescent="0.2">
      <c r="A8" s="1" t="s">
        <v>22</v>
      </c>
      <c r="B8" s="37" t="s">
        <v>317</v>
      </c>
    </row>
    <row r="10" spans="1:9" x14ac:dyDescent="0.2">
      <c r="C10" s="2" t="s">
        <v>117</v>
      </c>
      <c r="D10" s="2">
        <v>2020</v>
      </c>
      <c r="E10" s="2">
        <f>D10+1</f>
        <v>2021</v>
      </c>
      <c r="F10" s="2">
        <f t="shared" ref="F10:H10" si="0">E10+1</f>
        <v>2022</v>
      </c>
      <c r="G10" s="2">
        <f t="shared" si="0"/>
        <v>2023</v>
      </c>
      <c r="H10" s="2">
        <f t="shared" si="0"/>
        <v>2024</v>
      </c>
      <c r="I10" s="2" t="s">
        <v>1126</v>
      </c>
    </row>
    <row r="11" spans="1:9" x14ac:dyDescent="0.2">
      <c r="C11" s="86" t="str">
        <f>Model!C70</f>
        <v>Kyivstar</v>
      </c>
      <c r="D11" s="133">
        <f>Model!E70</f>
        <v>0.48899999999999999</v>
      </c>
      <c r="E11" s="133">
        <f>Model!F70</f>
        <v>0.48199999999999998</v>
      </c>
      <c r="F11" s="133">
        <f>Model!G70</f>
        <v>0.50900000000000001</v>
      </c>
      <c r="G11" s="133">
        <f>Model!H70</f>
        <v>0.48099999999999998</v>
      </c>
      <c r="H11" s="133">
        <f>Model!I70</f>
        <v>0.47199999999999998</v>
      </c>
    </row>
    <row r="12" spans="1:9" x14ac:dyDescent="0.2">
      <c r="C12" s="86" t="str">
        <f>Model!C71</f>
        <v>Vodafone Ukraine</v>
      </c>
      <c r="D12" s="133">
        <f>Model!E71</f>
        <v>0.35799999999999998</v>
      </c>
      <c r="E12" s="133">
        <f>Model!F71</f>
        <v>0.34799999999999998</v>
      </c>
      <c r="F12" s="133">
        <f>Model!G71</f>
        <v>0.316</v>
      </c>
      <c r="G12" s="133">
        <f>Model!H71</f>
        <v>0.32</v>
      </c>
      <c r="H12" s="133">
        <f>Model!I71</f>
        <v>0.32400000000000001</v>
      </c>
    </row>
    <row r="13" spans="1:9" x14ac:dyDescent="0.2">
      <c r="C13" s="86" t="str">
        <f>Model!C72</f>
        <v>Lifecell</v>
      </c>
      <c r="D13" s="133">
        <f>Model!E72</f>
        <v>0.153</v>
      </c>
      <c r="E13" s="133">
        <f>Model!F72</f>
        <v>0.17</v>
      </c>
      <c r="F13" s="133">
        <f>Model!G72</f>
        <v>0.17500000000000004</v>
      </c>
      <c r="G13" s="133">
        <f>Model!H72</f>
        <v>0.19900000000000007</v>
      </c>
      <c r="H13" s="133">
        <f>Model!I72</f>
        <v>0.20399999999999996</v>
      </c>
    </row>
    <row r="14" spans="1:9" x14ac:dyDescent="0.2">
      <c r="C14" s="86" t="str">
        <f>Model!C73</f>
        <v>Others</v>
      </c>
      <c r="D14" s="133">
        <f>Model!E73</f>
        <v>0</v>
      </c>
      <c r="E14" s="133">
        <f>Model!F73</f>
        <v>0</v>
      </c>
      <c r="F14" s="133">
        <f>Model!G73</f>
        <v>0</v>
      </c>
      <c r="G14" s="133">
        <f>Model!H73</f>
        <v>0</v>
      </c>
      <c r="H14" s="133">
        <f>Model!I73</f>
        <v>0</v>
      </c>
    </row>
    <row r="16" spans="1:9" x14ac:dyDescent="0.2">
      <c r="C16" s="2" t="s">
        <v>119</v>
      </c>
    </row>
    <row r="17" spans="3:9" x14ac:dyDescent="0.2">
      <c r="C17" s="86" t="str">
        <f>Model!C117</f>
        <v>Kyivstar</v>
      </c>
      <c r="H17" s="133">
        <f>Model!I117</f>
        <v>0.14099999999999999</v>
      </c>
      <c r="I17" s="40">
        <v>0.14000000000000001</v>
      </c>
    </row>
    <row r="18" spans="3:9" x14ac:dyDescent="0.2">
      <c r="C18" s="86" t="str">
        <f>Model!C118</f>
        <v>Ukrtelecom</v>
      </c>
      <c r="H18" s="133">
        <f>Model!I118</f>
        <v>5.3999999999999999E-2</v>
      </c>
      <c r="I18" s="40">
        <v>5.1999999999999998E-2</v>
      </c>
    </row>
    <row r="19" spans="3:9" x14ac:dyDescent="0.2">
      <c r="C19" s="86" t="str">
        <f>Model!C119</f>
        <v>Lifecell</v>
      </c>
      <c r="H19" s="133">
        <f>Model!I119</f>
        <v>4.8000000000000001E-2</v>
      </c>
      <c r="I19" s="40">
        <v>4.4999999999999998E-2</v>
      </c>
    </row>
    <row r="20" spans="3:9" x14ac:dyDescent="0.2">
      <c r="C20" s="86" t="str">
        <f>Model!C120</f>
        <v>Others</v>
      </c>
      <c r="H20" s="133">
        <f>Model!I120</f>
        <v>0.75700000000000001</v>
      </c>
      <c r="I20" s="40">
        <f>1-SUM(I17:I19)</f>
        <v>0.76300000000000001</v>
      </c>
    </row>
    <row r="22" spans="3:9" x14ac:dyDescent="0.2">
      <c r="C22" s="2" t="s">
        <v>230</v>
      </c>
      <c r="D22" s="2">
        <v>2024</v>
      </c>
      <c r="E22" s="1" t="s">
        <v>1126</v>
      </c>
    </row>
    <row r="23" spans="3:9" x14ac:dyDescent="0.2">
      <c r="C23" s="1" t="s">
        <v>231</v>
      </c>
      <c r="D23" s="146">
        <v>0.85</v>
      </c>
      <c r="E23" s="146">
        <v>0.83</v>
      </c>
    </row>
    <row r="24" spans="3:9" x14ac:dyDescent="0.2">
      <c r="C24" s="1" t="s">
        <v>232</v>
      </c>
      <c r="D24" s="146">
        <v>0.35</v>
      </c>
      <c r="E24" s="146">
        <v>0.35</v>
      </c>
    </row>
    <row r="27" spans="3:9" x14ac:dyDescent="0.2">
      <c r="C27" s="2" t="s">
        <v>202</v>
      </c>
      <c r="D27" s="1" t="s">
        <v>203</v>
      </c>
    </row>
    <row r="28" spans="3:9" x14ac:dyDescent="0.2">
      <c r="C28" s="135" t="s">
        <v>118</v>
      </c>
      <c r="D28" s="136">
        <v>35.65</v>
      </c>
    </row>
    <row r="29" spans="3:9" x14ac:dyDescent="0.2">
      <c r="C29" s="135" t="s">
        <v>136</v>
      </c>
      <c r="D29" s="136">
        <v>33.380000000000003</v>
      </c>
    </row>
    <row r="30" spans="3:9" x14ac:dyDescent="0.2">
      <c r="C30" s="135" t="s">
        <v>133</v>
      </c>
      <c r="D30" s="136">
        <v>29.42</v>
      </c>
    </row>
    <row r="32" spans="3:9" x14ac:dyDescent="0.2">
      <c r="C32" s="2" t="s">
        <v>204</v>
      </c>
    </row>
    <row r="33" spans="1:19" x14ac:dyDescent="0.2">
      <c r="C33" s="135" t="s">
        <v>118</v>
      </c>
      <c r="D33" s="137">
        <v>0.96</v>
      </c>
    </row>
    <row r="34" spans="1:19" x14ac:dyDescent="0.2">
      <c r="C34" s="135" t="s">
        <v>136</v>
      </c>
      <c r="D34" s="137">
        <v>0.84</v>
      </c>
    </row>
    <row r="35" spans="1:19" x14ac:dyDescent="0.2">
      <c r="C35" s="135" t="s">
        <v>133</v>
      </c>
      <c r="D35" s="137">
        <v>0.77</v>
      </c>
    </row>
    <row r="37" spans="1:19" x14ac:dyDescent="0.2">
      <c r="C37" s="2" t="s">
        <v>396</v>
      </c>
    </row>
    <row r="38" spans="1:19" x14ac:dyDescent="0.2">
      <c r="D38" s="1" t="s">
        <v>145</v>
      </c>
    </row>
    <row r="39" spans="1:19" x14ac:dyDescent="0.2">
      <c r="C39" s="1" t="s">
        <v>400</v>
      </c>
      <c r="D39" s="244">
        <f>D41-D40</f>
        <v>34.360221000000003</v>
      </c>
    </row>
    <row r="40" spans="1:19" x14ac:dyDescent="0.2">
      <c r="C40" s="1" t="s">
        <v>401</v>
      </c>
      <c r="D40" s="244">
        <v>3.5</v>
      </c>
    </row>
    <row r="41" spans="1:19" x14ac:dyDescent="0.2">
      <c r="C41" s="1" t="s">
        <v>397</v>
      </c>
      <c r="D41" s="244">
        <v>37.860221000000003</v>
      </c>
    </row>
    <row r="44" spans="1:19" x14ac:dyDescent="0.2">
      <c r="A44" s="1" t="s">
        <v>22</v>
      </c>
      <c r="B44" s="37" t="s">
        <v>439</v>
      </c>
      <c r="D44" s="1">
        <v>2020</v>
      </c>
      <c r="E44" s="1">
        <f>D44+1</f>
        <v>2021</v>
      </c>
      <c r="F44" s="1">
        <f t="shared" ref="F44" si="1">E44+1</f>
        <v>2022</v>
      </c>
      <c r="G44" s="1">
        <f>F44+1</f>
        <v>2023</v>
      </c>
      <c r="H44" s="1">
        <f t="shared" ref="H44" si="2">G44+1</f>
        <v>2024</v>
      </c>
      <c r="I44" s="189">
        <f t="shared" ref="I44" si="3">H44+1</f>
        <v>2025</v>
      </c>
      <c r="J44" s="189">
        <f t="shared" ref="J44" si="4">I44+1</f>
        <v>2026</v>
      </c>
      <c r="K44" s="189">
        <f t="shared" ref="K44" si="5">J44+1</f>
        <v>2027</v>
      </c>
      <c r="L44" s="189">
        <f t="shared" ref="L44" si="6">K44+1</f>
        <v>2028</v>
      </c>
      <c r="M44" s="189">
        <f t="shared" ref="M44" si="7">L44+1</f>
        <v>2029</v>
      </c>
      <c r="N44" s="189">
        <f t="shared" ref="N44" si="8">M44+1</f>
        <v>2030</v>
      </c>
      <c r="O44" s="189">
        <f t="shared" ref="O44" si="9">N44+1</f>
        <v>2031</v>
      </c>
      <c r="P44" s="189">
        <f t="shared" ref="P44" si="10">O44+1</f>
        <v>2032</v>
      </c>
      <c r="Q44" s="189">
        <f t="shared" ref="Q44" si="11">P44+1</f>
        <v>2033</v>
      </c>
      <c r="R44" s="189">
        <f t="shared" ref="R44" si="12">Q44+1</f>
        <v>2034</v>
      </c>
      <c r="S44" s="189">
        <f t="shared" ref="S44" si="13">R44+1</f>
        <v>2035</v>
      </c>
    </row>
    <row r="46" spans="1:19" x14ac:dyDescent="0.2">
      <c r="C46" s="1" t="s">
        <v>156</v>
      </c>
      <c r="D46" s="270">
        <f>Model!E53/1000</f>
        <v>18.6166725</v>
      </c>
      <c r="E46" s="270">
        <f>Model!F53/1000</f>
        <v>18.457766666666668</v>
      </c>
      <c r="F46" s="270">
        <f>Model!G53/1000</f>
        <v>17.103652500000003</v>
      </c>
      <c r="G46" s="270">
        <f>Model!H53/1000</f>
        <v>15.722015000000001</v>
      </c>
      <c r="H46" s="270">
        <f>Model!I53/1000</f>
        <v>15.775092083333332</v>
      </c>
      <c r="I46" s="270">
        <f>Model!J53/1000</f>
        <v>15.648891346666668</v>
      </c>
      <c r="J46" s="270">
        <f>Model!K53/1000</f>
        <v>15.523700215893331</v>
      </c>
      <c r="K46" s="270">
        <f>Model!L53/1000</f>
        <v>15.399510614166187</v>
      </c>
      <c r="L46" s="270">
        <f>Model!M53/1000</f>
        <v>15.276314529252858</v>
      </c>
      <c r="M46" s="270">
        <f>Model!N53/1000</f>
        <v>15.154104013018832</v>
      </c>
      <c r="N46" s="270">
        <f>Model!O53/1000</f>
        <v>15.032871180914681</v>
      </c>
      <c r="O46" s="270">
        <f>Model!P53/1000</f>
        <v>14.912608211467363</v>
      </c>
      <c r="P46" s="270">
        <f>Model!Q53/1000</f>
        <v>14.793307345775624</v>
      </c>
      <c r="Q46" s="270">
        <f>Model!R53/1000</f>
        <v>14.674960887009417</v>
      </c>
      <c r="R46" s="270">
        <f>Model!S53/1000</f>
        <v>14.557561199913341</v>
      </c>
      <c r="S46" s="270">
        <f>Model!T53/1000</f>
        <v>14.441100710314034</v>
      </c>
    </row>
    <row r="47" spans="1:19" x14ac:dyDescent="0.2">
      <c r="C47" s="1" t="s">
        <v>1043</v>
      </c>
      <c r="D47" s="270">
        <f>Model!E109/1000</f>
        <v>1.121216</v>
      </c>
      <c r="E47" s="270">
        <f>Model!F109/1000</f>
        <v>1.2035929999999999</v>
      </c>
      <c r="F47" s="270">
        <f>Model!G109/1000</f>
        <v>1.154131</v>
      </c>
      <c r="G47" s="270">
        <f>Model!H109/1000</f>
        <v>1.15419</v>
      </c>
      <c r="H47" s="270">
        <f>Model!I109/1000</f>
        <v>1.1286669999999999</v>
      </c>
      <c r="I47" s="270">
        <f>Model!J109/1000</f>
        <v>1.2194731119679292</v>
      </c>
      <c r="J47" s="270">
        <f>Model!K109/1000</f>
        <v>1.3124797795081855</v>
      </c>
      <c r="K47" s="270">
        <f>Model!L109/1000</f>
        <v>1.4076161766360324</v>
      </c>
      <c r="L47" s="270">
        <f>Model!M109/1000</f>
        <v>1.5048127081909657</v>
      </c>
      <c r="M47" s="270">
        <f>Model!N109/1000</f>
        <v>1.6040009927688392</v>
      </c>
      <c r="N47" s="270">
        <f>Model!O109/1000</f>
        <v>1.7051138458635626</v>
      </c>
      <c r="O47" s="270">
        <f>Model!P109/1000</f>
        <v>1.8080852632159852</v>
      </c>
      <c r="P47" s="270">
        <f>Model!Q109/1000</f>
        <v>1.91285040436762</v>
      </c>
      <c r="Q47" s="270">
        <f>Model!R109/1000</f>
        <v>1.9933708956468583</v>
      </c>
      <c r="R47" s="270">
        <f>Model!S109/1000</f>
        <v>2.0748098464317355</v>
      </c>
      <c r="S47" s="270">
        <f>Model!T109/1000</f>
        <v>2.1571287743803835</v>
      </c>
    </row>
    <row r="48" spans="1:19" x14ac:dyDescent="0.2">
      <c r="C48" s="1" t="s">
        <v>1045</v>
      </c>
      <c r="D48" s="270">
        <f>Model!E113/1000</f>
        <v>7.7694010000000002</v>
      </c>
      <c r="E48" s="270">
        <f>Model!F113/1000</f>
        <v>7.5662859999999998</v>
      </c>
      <c r="F48" s="270">
        <f>Model!G113/1000</f>
        <v>7.1909200000000002</v>
      </c>
      <c r="G48" s="270">
        <f>Model!H113/1000</f>
        <v>8.07</v>
      </c>
      <c r="H48" s="270">
        <f>Model!I113/1000</f>
        <v>8.0047304964539006</v>
      </c>
      <c r="I48" s="270">
        <f>Model!J113/1000</f>
        <v>8.4101593928822691</v>
      </c>
      <c r="J48" s="270">
        <f>Model!K113/1000</f>
        <v>8.8085891242160113</v>
      </c>
      <c r="K48" s="270">
        <f>Model!L113/1000</f>
        <v>9.2001057296472695</v>
      </c>
      <c r="L48" s="270">
        <f>Model!M113/1000</f>
        <v>9.5847943196876777</v>
      </c>
      <c r="M48" s="270">
        <f>Model!N113/1000</f>
        <v>9.9627390855207416</v>
      </c>
      <c r="N48" s="270">
        <f>Model!O113/1000</f>
        <v>10.334023308264015</v>
      </c>
      <c r="O48" s="270">
        <f>Model!P113/1000</f>
        <v>10.698729368141922</v>
      </c>
      <c r="P48" s="270">
        <f>Model!Q113/1000</f>
        <v>11.056938753570057</v>
      </c>
      <c r="Q48" s="270">
        <f>Model!R113/1000</f>
        <v>11.261982461281685</v>
      </c>
      <c r="R48" s="270">
        <f>Model!S113/1000</f>
        <v>11.463037825589698</v>
      </c>
      <c r="S48" s="270">
        <f>Model!T113/1000</f>
        <v>11.660155537191262</v>
      </c>
    </row>
    <row r="49" spans="1:21" x14ac:dyDescent="0.2">
      <c r="C49" s="3" t="s">
        <v>1044</v>
      </c>
      <c r="D49" s="52">
        <f>D48/D46</f>
        <v>0.41733564362804365</v>
      </c>
      <c r="E49" s="52">
        <f t="shared" ref="E49:S49" si="14">E48/E46</f>
        <v>0.40992424146655515</v>
      </c>
      <c r="F49" s="52">
        <f t="shared" si="14"/>
        <v>0.42043183466221612</v>
      </c>
      <c r="G49" s="52">
        <f t="shared" si="14"/>
        <v>0.51329298439163173</v>
      </c>
      <c r="H49" s="52">
        <f t="shared" si="14"/>
        <v>0.50742844822510047</v>
      </c>
      <c r="I49" s="52">
        <f t="shared" si="14"/>
        <v>0.53742844822510039</v>
      </c>
      <c r="J49" s="52">
        <f t="shared" si="14"/>
        <v>0.56742844822510052</v>
      </c>
      <c r="K49" s="52">
        <f t="shared" si="14"/>
        <v>0.59742844822510044</v>
      </c>
      <c r="L49" s="52">
        <f t="shared" si="14"/>
        <v>0.62742844822510058</v>
      </c>
      <c r="M49" s="52">
        <f t="shared" si="14"/>
        <v>0.6574284482251006</v>
      </c>
      <c r="N49" s="52">
        <f t="shared" si="14"/>
        <v>0.68742844822510063</v>
      </c>
      <c r="O49" s="52">
        <f t="shared" si="14"/>
        <v>0.71742844822510055</v>
      </c>
      <c r="P49" s="52">
        <f t="shared" si="14"/>
        <v>0.74742844822510068</v>
      </c>
      <c r="Q49" s="52">
        <f t="shared" si="14"/>
        <v>0.7674284482251007</v>
      </c>
      <c r="R49" s="52">
        <f t="shared" si="14"/>
        <v>0.78742844822510072</v>
      </c>
      <c r="S49" s="52">
        <f t="shared" si="14"/>
        <v>0.80742844822510085</v>
      </c>
    </row>
    <row r="50" spans="1:21" x14ac:dyDescent="0.2">
      <c r="D50" s="270"/>
      <c r="E50" s="270"/>
      <c r="F50" s="270"/>
      <c r="G50" s="270"/>
      <c r="H50" s="270"/>
      <c r="I50" s="270"/>
      <c r="J50" s="270"/>
      <c r="K50" s="270"/>
      <c r="L50" s="270"/>
      <c r="M50" s="270"/>
      <c r="N50" s="270"/>
      <c r="O50" s="270"/>
      <c r="P50" s="270"/>
      <c r="Q50" s="270"/>
      <c r="R50" s="270"/>
      <c r="S50" s="270"/>
    </row>
    <row r="51" spans="1:21" x14ac:dyDescent="0.2">
      <c r="D51" s="270"/>
      <c r="E51" s="270"/>
      <c r="F51" s="270"/>
      <c r="G51" s="270"/>
      <c r="H51" s="270"/>
      <c r="I51" s="270"/>
      <c r="J51" s="270"/>
      <c r="K51" s="270"/>
      <c r="L51" s="270"/>
      <c r="M51" s="270"/>
      <c r="N51" s="270"/>
      <c r="O51" s="270"/>
      <c r="P51" s="270"/>
      <c r="Q51" s="270"/>
      <c r="R51" s="270"/>
      <c r="S51" s="270"/>
    </row>
    <row r="52" spans="1:21" x14ac:dyDescent="0.2">
      <c r="D52" s="270"/>
      <c r="E52" s="270"/>
      <c r="F52" s="270"/>
      <c r="G52" s="270"/>
      <c r="H52" s="270"/>
      <c r="I52" s="270"/>
      <c r="J52" s="270"/>
      <c r="K52" s="270"/>
      <c r="L52" s="270"/>
      <c r="M52" s="270"/>
      <c r="N52" s="270"/>
      <c r="O52" s="270"/>
      <c r="P52" s="270"/>
      <c r="Q52" s="270"/>
      <c r="R52" s="270"/>
      <c r="S52" s="270"/>
    </row>
    <row r="53" spans="1:21" x14ac:dyDescent="0.2">
      <c r="C53" s="3" t="s">
        <v>615</v>
      </c>
      <c r="D53" s="270">
        <f>Model!E109/1000</f>
        <v>1.121216</v>
      </c>
      <c r="E53" s="270">
        <f>Model!F109/1000</f>
        <v>1.2035929999999999</v>
      </c>
      <c r="F53" s="270">
        <f>Model!G109/1000</f>
        <v>1.154131</v>
      </c>
      <c r="G53" s="270">
        <f>Model!H109/1000</f>
        <v>1.15419</v>
      </c>
      <c r="H53" s="270">
        <f>Model!I109/1000</f>
        <v>1.1286669999999999</v>
      </c>
      <c r="I53" s="270">
        <f>Model!J109/1000</f>
        <v>1.2194731119679292</v>
      </c>
      <c r="J53" s="270">
        <f>Model!K109/1000</f>
        <v>1.3124797795081855</v>
      </c>
      <c r="K53" s="270">
        <f>Model!L109/1000</f>
        <v>1.4076161766360324</v>
      </c>
      <c r="L53" s="270">
        <f>Model!M109/1000</f>
        <v>1.5048127081909657</v>
      </c>
      <c r="M53" s="270">
        <f>Model!N109/1000</f>
        <v>1.6040009927688392</v>
      </c>
      <c r="N53" s="270">
        <f>Model!O109/1000</f>
        <v>1.7051138458635626</v>
      </c>
      <c r="O53" s="270">
        <f>Model!P109/1000</f>
        <v>1.8080852632159852</v>
      </c>
      <c r="P53" s="270">
        <f>Model!Q109/1000</f>
        <v>1.91285040436762</v>
      </c>
      <c r="Q53" s="270">
        <f>Model!R109/1000</f>
        <v>1.9933708956468583</v>
      </c>
      <c r="R53" s="270">
        <f>Model!S109/1000</f>
        <v>2.0748098464317355</v>
      </c>
      <c r="S53" s="270">
        <f>Model!T109/1000</f>
        <v>2.1571287743803835</v>
      </c>
    </row>
    <row r="54" spans="1:21" x14ac:dyDescent="0.2">
      <c r="C54" s="3" t="s">
        <v>617</v>
      </c>
      <c r="D54" s="52">
        <f>D53/D46</f>
        <v>6.0226444870854337E-2</v>
      </c>
      <c r="E54" s="52">
        <f t="shared" ref="E54:S54" si="15">E53/E46</f>
        <v>6.5207943178391015E-2</v>
      </c>
      <c r="F54" s="52">
        <f t="shared" si="15"/>
        <v>6.7478627737554878E-2</v>
      </c>
      <c r="G54" s="52">
        <f t="shared" si="15"/>
        <v>7.3412345682153338E-2</v>
      </c>
      <c r="H54" s="52">
        <f t="shared" si="15"/>
        <v>7.1547411199739161E-2</v>
      </c>
      <c r="I54" s="52">
        <f t="shared" si="15"/>
        <v>7.7927124992639568E-2</v>
      </c>
      <c r="J54" s="52">
        <f t="shared" si="15"/>
        <v>8.4546838785539966E-2</v>
      </c>
      <c r="K54" s="52">
        <f t="shared" si="15"/>
        <v>9.1406552578440381E-2</v>
      </c>
      <c r="L54" s="52">
        <f t="shared" si="15"/>
        <v>9.85062663713408E-2</v>
      </c>
      <c r="M54" s="52">
        <f t="shared" si="15"/>
        <v>0.1058459801642412</v>
      </c>
      <c r="N54" s="52">
        <f t="shared" si="15"/>
        <v>0.11342569395714161</v>
      </c>
      <c r="O54" s="52">
        <f t="shared" si="15"/>
        <v>0.12124540775004201</v>
      </c>
      <c r="P54" s="52">
        <f t="shared" si="15"/>
        <v>0.12930512154294244</v>
      </c>
      <c r="Q54" s="52">
        <f t="shared" si="15"/>
        <v>0.13583483533584284</v>
      </c>
      <c r="R54" s="52">
        <f t="shared" si="15"/>
        <v>0.14252454912874324</v>
      </c>
      <c r="S54" s="52">
        <f t="shared" si="15"/>
        <v>0.14937426292164366</v>
      </c>
    </row>
    <row r="55" spans="1:21" x14ac:dyDescent="0.2">
      <c r="C55" s="1" t="s">
        <v>1081</v>
      </c>
      <c r="D55" s="335"/>
      <c r="E55" s="340">
        <f>Model!F142</f>
        <v>4.8842599943464302</v>
      </c>
      <c r="F55" s="340">
        <f>Model!G142</f>
        <v>4.0094810060374302</v>
      </c>
      <c r="G55" s="270">
        <f>Model!H142</f>
        <v>3.5022276752868833</v>
      </c>
      <c r="H55" s="270">
        <f>Model!I142</f>
        <v>3.5460743198467255</v>
      </c>
      <c r="I55" s="270">
        <f>Model!J142</f>
        <v>3.6425275413465568</v>
      </c>
      <c r="J55" s="270">
        <f>Model!K142</f>
        <v>3.7416042904711833</v>
      </c>
      <c r="K55" s="270">
        <f>Model!L142</f>
        <v>3.8433759271719992</v>
      </c>
      <c r="L55" s="270">
        <f>Model!M142</f>
        <v>3.9479157523910779</v>
      </c>
      <c r="M55" s="270">
        <f>Model!N142</f>
        <v>4.0552990608561146</v>
      </c>
      <c r="N55" s="270">
        <f>Model!O142</f>
        <v>4.1656031953114017</v>
      </c>
      <c r="O55" s="270">
        <f>Model!P142</f>
        <v>4.2789076022238719</v>
      </c>
      <c r="P55" s="270">
        <f>Model!Q142</f>
        <v>4.3952938890043614</v>
      </c>
      <c r="Q55" s="270">
        <f>Model!R142</f>
        <v>4.5148458827852798</v>
      </c>
      <c r="R55" s="270">
        <f>Model!S142</f>
        <v>4.6376496907970397</v>
      </c>
      <c r="S55" s="270">
        <f>Model!T142</f>
        <v>4.7637937623867197</v>
      </c>
      <c r="U55" s="52">
        <f>(S55/H55)^(1/11)-1</f>
        <v>2.7200000000000113E-2</v>
      </c>
    </row>
    <row r="56" spans="1:21" x14ac:dyDescent="0.2">
      <c r="C56" s="1" t="s">
        <v>1082</v>
      </c>
      <c r="D56" s="335"/>
      <c r="E56" s="340">
        <f>Model!F143</f>
        <v>0</v>
      </c>
      <c r="F56" s="340">
        <f>Model!G143</f>
        <v>-0.1791016426892843</v>
      </c>
      <c r="G56" s="270">
        <f>Model!H143</f>
        <v>-0.12651346395873453</v>
      </c>
      <c r="H56" s="270">
        <f>Model!I143</f>
        <v>1.2519644245073458E-2</v>
      </c>
      <c r="I56" s="270">
        <f>Model!J143</f>
        <v>2.7200000000000113E-2</v>
      </c>
      <c r="J56" s="270">
        <f>Model!K143</f>
        <v>2.7200000000000113E-2</v>
      </c>
      <c r="K56" s="270">
        <f>Model!L143</f>
        <v>2.7199999999999891E-2</v>
      </c>
      <c r="L56" s="270">
        <f>Model!M143</f>
        <v>2.7200000000000113E-2</v>
      </c>
      <c r="M56" s="270">
        <f>Model!N143</f>
        <v>2.7199999999999891E-2</v>
      </c>
      <c r="N56" s="270">
        <f>Model!O143</f>
        <v>2.7200000000000113E-2</v>
      </c>
      <c r="O56" s="270">
        <f>Model!P143</f>
        <v>2.7200000000000113E-2</v>
      </c>
      <c r="P56" s="270">
        <f>Model!Q143</f>
        <v>2.7200000000000113E-2</v>
      </c>
      <c r="Q56" s="270">
        <f>Model!R143</f>
        <v>2.7199999999999891E-2</v>
      </c>
      <c r="R56" s="270">
        <f>Model!S143</f>
        <v>2.7200000000000113E-2</v>
      </c>
      <c r="S56" s="270">
        <f>Model!T143</f>
        <v>2.7200000000000113E-2</v>
      </c>
      <c r="U56" s="52"/>
    </row>
    <row r="57" spans="1:21" x14ac:dyDescent="0.2">
      <c r="C57" s="1" t="s">
        <v>440</v>
      </c>
      <c r="D57" s="341">
        <f>Model!E601</f>
        <v>59.426267507418402</v>
      </c>
      <c r="E57" s="341">
        <f>Model!F601</f>
        <v>68.129829559179186</v>
      </c>
      <c r="F57" s="341">
        <f>Model!G601</f>
        <v>56.719497572871568</v>
      </c>
      <c r="G57" s="271">
        <f>Model!H601</f>
        <v>52</v>
      </c>
      <c r="H57" s="271">
        <f>Model!I601</f>
        <v>50</v>
      </c>
      <c r="I57" s="271">
        <f>Model!J601</f>
        <v>52.690750011268349</v>
      </c>
      <c r="J57" s="271">
        <f>Model!K601</f>
        <v>58.158284257130795</v>
      </c>
      <c r="K57" s="271">
        <f>Model!L601</f>
        <v>63.990321771877724</v>
      </c>
      <c r="L57" s="271">
        <f>Model!M601</f>
        <v>70.201788545297006</v>
      </c>
      <c r="M57" s="271">
        <f>Model!N601</f>
        <v>76.80811519130549</v>
      </c>
      <c r="N57" s="271">
        <f>Model!O601</f>
        <v>83.825251592787737</v>
      </c>
      <c r="O57" s="271">
        <f>Model!P601</f>
        <v>91.2696819550291</v>
      </c>
      <c r="P57" s="271">
        <f>Model!Q601</f>
        <v>99.158440277911765</v>
      </c>
      <c r="Q57" s="271">
        <f>Model!R601</f>
        <v>106.80549617412106</v>
      </c>
      <c r="R57" s="271">
        <f>Model!S601</f>
        <v>114.15077328595706</v>
      </c>
      <c r="S57" s="271">
        <f>Model!T601</f>
        <v>121.87248753719032</v>
      </c>
      <c r="U57" s="52">
        <f>(S57/H57)^(1/11)-1</f>
        <v>8.4366195198002369E-2</v>
      </c>
    </row>
    <row r="58" spans="1:21" x14ac:dyDescent="0.2">
      <c r="C58" s="3" t="s">
        <v>606</v>
      </c>
      <c r="D58" s="341"/>
      <c r="E58" s="341"/>
      <c r="F58" s="341"/>
      <c r="G58" s="271"/>
      <c r="H58" s="273">
        <f>Model!I611</f>
        <v>-3.8461538461538436E-2</v>
      </c>
      <c r="I58" s="273">
        <f>Model!J611</f>
        <v>5.3815000225367005E-2</v>
      </c>
      <c r="J58" s="273">
        <f>Model!K611</f>
        <v>0.10376649117147063</v>
      </c>
      <c r="K58" s="273">
        <f>Model!L611</f>
        <v>0.10027870645155534</v>
      </c>
      <c r="L58" s="273">
        <f>Model!M611</f>
        <v>9.7068847310423756E-2</v>
      </c>
      <c r="M58" s="273">
        <f>Model!N611</f>
        <v>9.4104819590825839E-2</v>
      </c>
      <c r="N58" s="273">
        <f>Model!O611</f>
        <v>9.1359309937559363E-2</v>
      </c>
      <c r="O58" s="273">
        <f>Model!P611</f>
        <v>8.8808923573596266E-2</v>
      </c>
      <c r="P58" s="273">
        <f>Model!Q611</f>
        <v>8.643350293221852E-2</v>
      </c>
      <c r="Q58" s="273">
        <f>Model!R611</f>
        <v>7.7119566168818876E-2</v>
      </c>
      <c r="R58" s="273">
        <f>Model!S611</f>
        <v>6.8772463730342626E-2</v>
      </c>
      <c r="S58" s="273">
        <f>Model!T611</f>
        <v>6.7644870279500724E-2</v>
      </c>
      <c r="U58" s="52"/>
    </row>
    <row r="59" spans="1:21" x14ac:dyDescent="0.2">
      <c r="C59" s="1" t="s">
        <v>607</v>
      </c>
      <c r="D59" s="273"/>
      <c r="E59" s="272"/>
      <c r="F59" s="272"/>
      <c r="G59" s="272"/>
      <c r="H59" s="273">
        <f>Model!I151</f>
        <v>0.13200128428690294</v>
      </c>
      <c r="I59" s="273">
        <f>Model!J151</f>
        <v>9.7723958568090685E-2</v>
      </c>
      <c r="J59" s="273">
        <f>Model!K151</f>
        <v>0.14975676163694862</v>
      </c>
      <c r="K59" s="273">
        <f>Model!L151</f>
        <v>0.14612365255370352</v>
      </c>
      <c r="L59" s="273">
        <f>Model!M151</f>
        <v>0.1427800492816913</v>
      </c>
      <c r="M59" s="273">
        <f>Model!N151</f>
        <v>0.13969252040711044</v>
      </c>
      <c r="N59" s="273">
        <f>Model!O151</f>
        <v>0.13683261451829121</v>
      </c>
      <c r="O59" s="273">
        <f>Model!P151</f>
        <v>0.13417596205582938</v>
      </c>
      <c r="P59" s="273">
        <f>Model!Q151</f>
        <v>0.13170156555439427</v>
      </c>
      <c r="Q59" s="273">
        <f>Model!R151</f>
        <v>0.12199954809251956</v>
      </c>
      <c r="R59" s="273">
        <f>Model!S151</f>
        <v>0.11330464971910703</v>
      </c>
      <c r="S59" s="273">
        <f>Model!T151</f>
        <v>0.11213007320781321</v>
      </c>
    </row>
    <row r="63" spans="1:21" x14ac:dyDescent="0.2">
      <c r="A63" s="1" t="s">
        <v>22</v>
      </c>
      <c r="B63" s="37" t="s">
        <v>318</v>
      </c>
    </row>
    <row r="64" spans="1:21" x14ac:dyDescent="0.2">
      <c r="B64" s="2"/>
      <c r="D64" s="1" t="s">
        <v>323</v>
      </c>
      <c r="E64" s="1" t="s">
        <v>324</v>
      </c>
      <c r="F64" s="1" t="s">
        <v>325</v>
      </c>
      <c r="G64" s="1" t="s">
        <v>326</v>
      </c>
      <c r="H64" s="1" t="s">
        <v>327</v>
      </c>
      <c r="I64" s="1" t="s">
        <v>328</v>
      </c>
      <c r="J64" s="1" t="s">
        <v>329</v>
      </c>
      <c r="K64" s="1" t="s">
        <v>330</v>
      </c>
      <c r="L64" s="1" t="s">
        <v>331</v>
      </c>
      <c r="M64" s="1" t="s">
        <v>1087</v>
      </c>
    </row>
    <row r="65" spans="2:19" x14ac:dyDescent="0.2">
      <c r="B65" s="2"/>
      <c r="C65" s="1" t="s">
        <v>321</v>
      </c>
      <c r="D65" s="190">
        <v>6.7</v>
      </c>
      <c r="E65" s="190">
        <v>6.5</v>
      </c>
      <c r="F65" s="190">
        <v>7.1</v>
      </c>
      <c r="G65" s="190">
        <v>8.1999999999999993</v>
      </c>
      <c r="H65" s="190">
        <v>7.7</v>
      </c>
      <c r="I65" s="190">
        <v>8.8000000000000007</v>
      </c>
      <c r="J65" s="190">
        <v>9</v>
      </c>
      <c r="K65" s="190">
        <v>10.6</v>
      </c>
      <c r="L65" s="190">
        <v>10.3</v>
      </c>
      <c r="M65" s="190">
        <v>13.4</v>
      </c>
    </row>
    <row r="66" spans="2:19" x14ac:dyDescent="0.2">
      <c r="B66" s="2"/>
      <c r="C66" s="1" t="s">
        <v>332</v>
      </c>
      <c r="D66" s="192">
        <f>396-E66-F66-G66</f>
        <v>118</v>
      </c>
      <c r="E66" s="192">
        <v>127</v>
      </c>
      <c r="F66" s="192">
        <v>45</v>
      </c>
      <c r="G66" s="192">
        <v>106</v>
      </c>
      <c r="H66" s="192">
        <f>880-I66-J66-K66</f>
        <v>137</v>
      </c>
      <c r="I66" s="192">
        <v>225</v>
      </c>
      <c r="J66" s="192">
        <v>232</v>
      </c>
      <c r="K66" s="192">
        <v>286</v>
      </c>
      <c r="L66" s="192">
        <v>329</v>
      </c>
      <c r="M66" s="192">
        <v>1263</v>
      </c>
    </row>
    <row r="67" spans="2:19" x14ac:dyDescent="0.2">
      <c r="B67" s="2"/>
      <c r="C67" s="1" t="s">
        <v>333</v>
      </c>
      <c r="D67" s="191">
        <v>8346.4574011500008</v>
      </c>
      <c r="E67" s="191">
        <v>8609.4162748300005</v>
      </c>
      <c r="F67" s="191">
        <v>8711.2569217100008</v>
      </c>
      <c r="G67" s="191">
        <v>7920.862599</v>
      </c>
      <c r="H67" s="191">
        <v>7168.6493074600003</v>
      </c>
      <c r="I67" s="191">
        <v>9425.2124853400001</v>
      </c>
      <c r="J67" s="191">
        <v>10266.885688269998</v>
      </c>
      <c r="K67" s="191">
        <v>10413.470275440002</v>
      </c>
      <c r="L67" s="191">
        <v>10719.774406179997</v>
      </c>
      <c r="M67" s="191">
        <v>11857</v>
      </c>
    </row>
    <row r="68" spans="2:19" x14ac:dyDescent="0.2">
      <c r="B68" s="2"/>
      <c r="C68" s="1" t="s">
        <v>170</v>
      </c>
      <c r="D68" s="52">
        <f>D66/D67</f>
        <v>1.4137734649402463E-2</v>
      </c>
      <c r="E68" s="52">
        <f t="shared" ref="E68:L68" si="16">E66/E67</f>
        <v>1.4751290441291587E-2</v>
      </c>
      <c r="F68" s="52">
        <f t="shared" si="16"/>
        <v>5.1657298601596744E-3</v>
      </c>
      <c r="G68" s="52">
        <f t="shared" si="16"/>
        <v>1.3382380855007179E-2</v>
      </c>
      <c r="H68" s="52">
        <f t="shared" si="16"/>
        <v>1.9110992060586921E-2</v>
      </c>
      <c r="I68" s="52">
        <f t="shared" si="16"/>
        <v>2.3872140850932071E-2</v>
      </c>
      <c r="J68" s="52">
        <f t="shared" si="16"/>
        <v>2.2596920531126777E-2</v>
      </c>
      <c r="K68" s="52">
        <f t="shared" si="16"/>
        <v>2.7464427557307797E-2</v>
      </c>
      <c r="L68" s="52">
        <f t="shared" si="16"/>
        <v>3.0690944373822835E-2</v>
      </c>
      <c r="M68" s="52">
        <f>M66/M67</f>
        <v>0.1065193556548874</v>
      </c>
    </row>
    <row r="69" spans="2:19" x14ac:dyDescent="0.2">
      <c r="B69" s="2"/>
    </row>
    <row r="70" spans="2:19" x14ac:dyDescent="0.2">
      <c r="B70" s="2"/>
      <c r="C70" s="2" t="s">
        <v>165</v>
      </c>
      <c r="D70" s="1">
        <v>2022</v>
      </c>
      <c r="E70" s="1">
        <f>D70+1</f>
        <v>2023</v>
      </c>
      <c r="F70" s="1">
        <f t="shared" ref="F70:L70" si="17">E70+1</f>
        <v>2024</v>
      </c>
      <c r="G70" s="189">
        <f>F70+1</f>
        <v>2025</v>
      </c>
      <c r="H70" s="189">
        <f t="shared" si="17"/>
        <v>2026</v>
      </c>
      <c r="I70" s="189">
        <f t="shared" si="17"/>
        <v>2027</v>
      </c>
      <c r="J70" s="189">
        <f t="shared" si="17"/>
        <v>2028</v>
      </c>
      <c r="K70" s="189">
        <f t="shared" si="17"/>
        <v>2029</v>
      </c>
      <c r="L70" s="189">
        <f t="shared" si="17"/>
        <v>2030</v>
      </c>
      <c r="M70" s="189">
        <f t="shared" ref="M70:O70" si="18">L70+1</f>
        <v>2031</v>
      </c>
      <c r="N70" s="189">
        <f t="shared" si="18"/>
        <v>2032</v>
      </c>
      <c r="O70" s="189">
        <f t="shared" si="18"/>
        <v>2033</v>
      </c>
      <c r="P70" s="189">
        <f t="shared" ref="P70:Q70" si="19">O70+1</f>
        <v>2034</v>
      </c>
      <c r="Q70" s="189">
        <f t="shared" si="19"/>
        <v>2035</v>
      </c>
    </row>
    <row r="71" spans="2:19" x14ac:dyDescent="0.2">
      <c r="C71" s="3" t="s">
        <v>319</v>
      </c>
      <c r="D71" s="188">
        <f>Model!G241</f>
        <v>1.0970464135021096</v>
      </c>
      <c r="E71" s="188">
        <f>Model!H241</f>
        <v>1.3</v>
      </c>
      <c r="F71" s="188">
        <f>Model!I241</f>
        <v>2</v>
      </c>
      <c r="G71" s="188">
        <f>Model!J241</f>
        <v>2.2999999999999998</v>
      </c>
      <c r="H71" s="188">
        <f>Model!K241</f>
        <v>2.5999999999999996</v>
      </c>
      <c r="I71" s="188">
        <f>Model!L241</f>
        <v>2.8999999999999995</v>
      </c>
      <c r="J71" s="188">
        <f>Model!M241</f>
        <v>3.1999999999999993</v>
      </c>
      <c r="K71" s="188">
        <f>Model!N241</f>
        <v>3.4999999999999991</v>
      </c>
      <c r="L71" s="188">
        <f>Model!O241</f>
        <v>3.7999999999999989</v>
      </c>
      <c r="M71" s="188">
        <f>Model!P241</f>
        <v>4.0999999999999988</v>
      </c>
      <c r="N71" s="188">
        <f>Model!Q241</f>
        <v>4.3999999999999986</v>
      </c>
      <c r="O71" s="188">
        <f>Model!R241</f>
        <v>4.6999999999999984</v>
      </c>
      <c r="P71" s="188">
        <f>Model!S241</f>
        <v>4.9999999999999982</v>
      </c>
      <c r="Q71" s="188">
        <f>Model!T241</f>
        <v>5.299999999999998</v>
      </c>
    </row>
    <row r="72" spans="2:19" x14ac:dyDescent="0.2">
      <c r="C72" s="3" t="s">
        <v>320</v>
      </c>
      <c r="D72" s="133">
        <f>Model!G244</f>
        <v>2.6725441965834235E-2</v>
      </c>
      <c r="E72" s="133">
        <f>Model!H244</f>
        <v>3.4452750914349503E-2</v>
      </c>
      <c r="F72" s="133">
        <f>Model!I244</f>
        <v>5.2825893435751475E-2</v>
      </c>
      <c r="G72" s="133">
        <f>Model!J244</f>
        <v>6.1239695011203826E-2</v>
      </c>
      <c r="H72" s="133">
        <f>Model!K244</f>
        <v>6.9785767456666342E-2</v>
      </c>
      <c r="I72" s="133">
        <f>Model!L244</f>
        <v>7.8465696969731852E-2</v>
      </c>
      <c r="J72" s="133">
        <f>Model!M244</f>
        <v>8.728108672940138E-2</v>
      </c>
      <c r="K72" s="133">
        <f>Model!N244</f>
        <v>9.6233557066817313E-2</v>
      </c>
      <c r="L72" s="133">
        <f>Model!O244</f>
        <v>0.10532474563764568</v>
      </c>
      <c r="M72" s="133">
        <f>Model!P244</f>
        <v>0.11455630759612355</v>
      </c>
      <c r="N72" s="133">
        <f>Model!Q244</f>
        <v>0.12392991577078666</v>
      </c>
      <c r="O72" s="133">
        <f>Model!R244</f>
        <v>0.13344726084189365</v>
      </c>
      <c r="P72" s="133">
        <f>Model!S244</f>
        <v>0.143110051520562</v>
      </c>
      <c r="Q72" s="133">
        <f>Model!T244</f>
        <v>0.15292001472963279</v>
      </c>
    </row>
    <row r="73" spans="2:19" x14ac:dyDescent="0.2">
      <c r="C73" s="3" t="s">
        <v>1121</v>
      </c>
      <c r="D73" s="188">
        <f>Model!G253</f>
        <v>0</v>
      </c>
      <c r="E73" s="188">
        <f>Model!H253</f>
        <v>0.20140900102139081</v>
      </c>
      <c r="F73" s="188">
        <f>Model!I253</f>
        <v>0.26271177914604216</v>
      </c>
      <c r="G73" s="188">
        <f>Model!J253</f>
        <v>0.30264396957624057</v>
      </c>
      <c r="H73" s="188">
        <f>Model!K253</f>
        <v>0.3428350887359653</v>
      </c>
      <c r="I73" s="188">
        <f>Model!L253</f>
        <v>0.38243939818674388</v>
      </c>
      <c r="J73" s="188">
        <f>Model!M253</f>
        <v>0.42067109994467627</v>
      </c>
      <c r="K73" s="188">
        <f>Model!N253</f>
        <v>0.45683669921224002</v>
      </c>
      <c r="L73" s="188">
        <f>Model!O253</f>
        <v>0.4903566717271749</v>
      </c>
      <c r="M73" s="188">
        <f>Model!P253</f>
        <v>0.52077676773412529</v>
      </c>
      <c r="N73" s="188">
        <f>Model!Q253</f>
        <v>0.54777019243581671</v>
      </c>
      <c r="O73" s="188">
        <f>Model!R253</f>
        <v>0.57113242917851392</v>
      </c>
      <c r="P73" s="188">
        <f>Model!S253</f>
        <v>0.59077066577062409</v>
      </c>
      <c r="Q73" s="188">
        <f>Model!T253</f>
        <v>0.6066897260257651</v>
      </c>
    </row>
    <row r="74" spans="2:19" x14ac:dyDescent="0.2">
      <c r="C74" s="3" t="s">
        <v>1122</v>
      </c>
      <c r="D74" s="188">
        <f>Model!G270</f>
        <v>0</v>
      </c>
      <c r="E74" s="188">
        <f>Model!H270</f>
        <v>0.75528375383021551</v>
      </c>
      <c r="F74" s="188">
        <f>Model!I270</f>
        <v>0.98516917179765806</v>
      </c>
      <c r="G74" s="188">
        <f>Model!J270</f>
        <v>1.1349148859109022</v>
      </c>
      <c r="H74" s="188">
        <f>Model!K270</f>
        <v>1.2856315827598699</v>
      </c>
      <c r="I74" s="188">
        <f>Model!L270</f>
        <v>1.4341477432002896</v>
      </c>
      <c r="J74" s="188">
        <f>Model!M270</f>
        <v>1.5775166247925361</v>
      </c>
      <c r="K74" s="188">
        <f>Model!N270</f>
        <v>1.7131376220459003</v>
      </c>
      <c r="L74" s="188">
        <f>Model!O270</f>
        <v>1.8388375189769057</v>
      </c>
      <c r="M74" s="188">
        <f>Model!P270</f>
        <v>1.9529128790029697</v>
      </c>
      <c r="N74" s="188">
        <f>Model!Q270</f>
        <v>2.0541382216343127</v>
      </c>
      <c r="O74" s="188">
        <f>Model!R270</f>
        <v>2.1417466094194268</v>
      </c>
      <c r="P74" s="188">
        <f>Model!S270</f>
        <v>2.2153899966398405</v>
      </c>
      <c r="Q74" s="188">
        <f>Model!T270</f>
        <v>2.2750864725966191</v>
      </c>
    </row>
    <row r="75" spans="2:19" x14ac:dyDescent="0.2">
      <c r="C75" s="3" t="s">
        <v>1083</v>
      </c>
      <c r="D75" s="284">
        <f>Model!G256</f>
        <v>0</v>
      </c>
      <c r="E75" s="284">
        <f>Model!H256</f>
        <v>2.8967203412722049</v>
      </c>
      <c r="F75" s="284">
        <f>Model!I256</f>
        <v>5.2016932270916341</v>
      </c>
      <c r="G75" s="284">
        <f>Model!J256</f>
        <v>7.808214415067007</v>
      </c>
      <c r="H75" s="284">
        <f>Model!K256</f>
        <v>10.079351608837378</v>
      </c>
      <c r="I75" s="284">
        <f>Model!L256</f>
        <v>12.620500140162546</v>
      </c>
      <c r="J75" s="284">
        <f>Model!M256</f>
        <v>15.396562257975148</v>
      </c>
      <c r="K75" s="284">
        <f>Model!N256</f>
        <v>18.364835308332047</v>
      </c>
      <c r="L75" s="284">
        <f>Model!O256</f>
        <v>21.477622221650254</v>
      </c>
      <c r="M75" s="284">
        <f>Model!P256</f>
        <v>24.684818790597532</v>
      </c>
      <c r="N75" s="284">
        <f>Model!Q256</f>
        <v>27.936279814226644</v>
      </c>
      <c r="O75" s="284">
        <f>Model!R256</f>
        <v>31.183830633146851</v>
      </c>
      <c r="P75" s="284">
        <f>Model!S256</f>
        <v>34.382852747850308</v>
      </c>
      <c r="Q75" s="284">
        <f>Model!T256</f>
        <v>37.49342506839227</v>
      </c>
      <c r="S75" s="52">
        <f>(Q75/F75)^(1/11)-1</f>
        <v>0.19669303069458066</v>
      </c>
    </row>
    <row r="76" spans="2:19" x14ac:dyDescent="0.2">
      <c r="C76" s="3" t="s">
        <v>1084</v>
      </c>
      <c r="D76" s="284">
        <f>Model!G273</f>
        <v>0</v>
      </c>
      <c r="E76" s="284">
        <f>Model!H273</f>
        <v>10.86270127977077</v>
      </c>
      <c r="F76" s="284">
        <f>Model!I273</f>
        <v>19.506349601593627</v>
      </c>
      <c r="G76" s="284">
        <f>Model!J273</f>
        <v>29.280804056501275</v>
      </c>
      <c r="H76" s="284">
        <f>Model!K273</f>
        <v>37.797568533140172</v>
      </c>
      <c r="I76" s="284">
        <f>Model!L273</f>
        <v>47.326875525609545</v>
      </c>
      <c r="J76" s="284">
        <f>Model!M273</f>
        <v>57.737108467406813</v>
      </c>
      <c r="K76" s="284">
        <f>Model!N273</f>
        <v>68.868132406245167</v>
      </c>
      <c r="L76" s="284">
        <f>Model!O273</f>
        <v>80.54108333118846</v>
      </c>
      <c r="M76" s="284">
        <f>Model!P273</f>
        <v>92.568070464740757</v>
      </c>
      <c r="N76" s="284">
        <f>Model!Q273</f>
        <v>104.76104930334992</v>
      </c>
      <c r="O76" s="284">
        <f>Model!R273</f>
        <v>116.93936487430069</v>
      </c>
      <c r="P76" s="284">
        <f>Model!S273</f>
        <v>128.93569780443866</v>
      </c>
      <c r="Q76" s="284">
        <f>Model!T273</f>
        <v>140.60034400647103</v>
      </c>
      <c r="S76" s="52"/>
    </row>
    <row r="77" spans="2:19" x14ac:dyDescent="0.2">
      <c r="C77" s="3" t="s">
        <v>606</v>
      </c>
      <c r="D77" s="188"/>
      <c r="E77" s="188"/>
      <c r="F77" s="165">
        <f>F75/E75-1</f>
        <v>0.79571812749004023</v>
      </c>
      <c r="G77" s="165">
        <f t="shared" ref="G77:L77" si="20">G75/F75-1</f>
        <v>0.50109090909090925</v>
      </c>
      <c r="H77" s="165">
        <f t="shared" si="20"/>
        <v>0.29086511627906941</v>
      </c>
      <c r="I77" s="165">
        <f t="shared" si="20"/>
        <v>0.25211428571428529</v>
      </c>
      <c r="J77" s="165">
        <f t="shared" si="20"/>
        <v>0.21996450909090903</v>
      </c>
      <c r="K77" s="165">
        <f t="shared" si="20"/>
        <v>0.19278803934426247</v>
      </c>
      <c r="L77" s="165">
        <f t="shared" si="20"/>
        <v>0.16949713194029825</v>
      </c>
      <c r="M77" s="165">
        <f t="shared" ref="M77" si="21">M75/L75-1</f>
        <v>0.14932735736986302</v>
      </c>
      <c r="N77" s="165">
        <f t="shared" ref="N77" si="22">N75/M75-1</f>
        <v>0.13171905579746834</v>
      </c>
      <c r="O77" s="165">
        <f t="shared" ref="O77:Q77" si="23">O75/N75-1</f>
        <v>0.11624850697788269</v>
      </c>
      <c r="P77" s="165">
        <f t="shared" si="23"/>
        <v>0.10258592513336251</v>
      </c>
      <c r="Q77" s="165">
        <f t="shared" si="23"/>
        <v>9.046870960224318E-2</v>
      </c>
    </row>
    <row r="78" spans="2:19" x14ac:dyDescent="0.2">
      <c r="C78" s="1" t="s">
        <v>607</v>
      </c>
      <c r="F78" s="133">
        <f>Model!I250</f>
        <v>0.9720000000000002</v>
      </c>
      <c r="G78" s="133">
        <f>Model!J250</f>
        <v>0.56363636363636371</v>
      </c>
      <c r="H78" s="133">
        <f>Model!K250</f>
        <v>0.34465116279069741</v>
      </c>
      <c r="I78" s="133">
        <f>Model!L250</f>
        <v>0.30428571428571405</v>
      </c>
      <c r="J78" s="133">
        <f>Model!M250</f>
        <v>0.2707963636363635</v>
      </c>
      <c r="K78" s="133">
        <f>Model!N250</f>
        <v>0.2424875409836067</v>
      </c>
      <c r="L78" s="133">
        <f>Model!O250</f>
        <v>0.2182261791044775</v>
      </c>
      <c r="M78" s="133">
        <f>Model!P250</f>
        <v>0.19721599726027383</v>
      </c>
      <c r="N78" s="133">
        <f>Model!Q250</f>
        <v>0.17887401645569612</v>
      </c>
      <c r="O78" s="133">
        <f>Model!R250</f>
        <v>0.16275886143529439</v>
      </c>
      <c r="P78" s="133">
        <f>Model!S250</f>
        <v>0.14852700534725249</v>
      </c>
      <c r="Q78" s="133">
        <f>Model!T250</f>
        <v>0.13590490583567028</v>
      </c>
    </row>
    <row r="80" spans="2:19" x14ac:dyDescent="0.2">
      <c r="C80" s="2" t="s">
        <v>164</v>
      </c>
      <c r="D80" s="1">
        <v>2022</v>
      </c>
      <c r="E80" s="1">
        <f>D80+1</f>
        <v>2023</v>
      </c>
      <c r="F80" s="1">
        <f t="shared" ref="F80" si="24">E80+1</f>
        <v>2024</v>
      </c>
      <c r="G80" s="189">
        <f>F80+1</f>
        <v>2025</v>
      </c>
      <c r="H80" s="189">
        <f t="shared" ref="H80" si="25">G80+1</f>
        <v>2026</v>
      </c>
      <c r="I80" s="189">
        <f t="shared" ref="I80" si="26">H80+1</f>
        <v>2027</v>
      </c>
      <c r="J80" s="189">
        <f t="shared" ref="J80" si="27">I80+1</f>
        <v>2028</v>
      </c>
      <c r="K80" s="189">
        <f t="shared" ref="K80" si="28">J80+1</f>
        <v>2029</v>
      </c>
      <c r="L80" s="189">
        <f t="shared" ref="L80" si="29">K80+1</f>
        <v>2030</v>
      </c>
      <c r="M80" s="189">
        <f t="shared" ref="M80" si="30">L80+1</f>
        <v>2031</v>
      </c>
      <c r="N80" s="189">
        <f t="shared" ref="N80" si="31">M80+1</f>
        <v>2032</v>
      </c>
      <c r="O80" s="189">
        <f t="shared" ref="O80" si="32">N80+1</f>
        <v>2033</v>
      </c>
      <c r="P80" s="189">
        <f t="shared" ref="P80" si="33">O80+1</f>
        <v>2034</v>
      </c>
      <c r="Q80" s="189">
        <f t="shared" ref="Q80" si="34">P80+1</f>
        <v>2035</v>
      </c>
    </row>
    <row r="81" spans="3:19" x14ac:dyDescent="0.2">
      <c r="C81" s="3" t="s">
        <v>335</v>
      </c>
      <c r="D81" s="188">
        <f>Model!G219</f>
        <v>1.5</v>
      </c>
      <c r="E81" s="188">
        <f>Model!H219</f>
        <v>2.5</v>
      </c>
      <c r="F81" s="188">
        <f>Model!I219</f>
        <v>2.4</v>
      </c>
      <c r="G81" s="188">
        <f>Model!J219</f>
        <v>2.8703571428571428</v>
      </c>
      <c r="H81" s="188">
        <f>Model!K219</f>
        <v>3.3557142857142859</v>
      </c>
      <c r="I81" s="188">
        <f>Model!L219</f>
        <v>3.5610714285714287</v>
      </c>
      <c r="J81" s="188">
        <f>Model!M219</f>
        <v>3.7714285714285718</v>
      </c>
      <c r="K81" s="188">
        <f>Model!N219</f>
        <v>3.9867857142857148</v>
      </c>
      <c r="L81" s="188">
        <f>Model!O219</f>
        <v>4.2071428571428573</v>
      </c>
      <c r="M81" s="188">
        <f>Model!P219</f>
        <v>4.432500000000001</v>
      </c>
      <c r="N81" s="188">
        <f>Model!Q219</f>
        <v>4.6628571428571437</v>
      </c>
      <c r="O81" s="188">
        <f>Model!R219</f>
        <v>4.8982142857142863</v>
      </c>
      <c r="P81" s="188">
        <f>Model!S219</f>
        <v>5.1385714285714297</v>
      </c>
      <c r="Q81" s="188">
        <f>Model!T219</f>
        <v>5.383928571428573</v>
      </c>
    </row>
    <row r="82" spans="3:19" x14ac:dyDescent="0.2">
      <c r="C82" s="3" t="s">
        <v>336</v>
      </c>
      <c r="D82" s="133">
        <f>Model!G221</f>
        <v>3.654190238020797E-2</v>
      </c>
      <c r="E82" s="133">
        <f>Model!H221</f>
        <v>6.6255290219902882E-2</v>
      </c>
      <c r="F82" s="133">
        <f>Model!I221</f>
        <v>6.3391072122901765E-2</v>
      </c>
      <c r="G82" s="133">
        <f>Model!J221</f>
        <v>7.6425998261652972E-2</v>
      </c>
      <c r="H82" s="133">
        <f>Model!K221</f>
        <v>9.0069652613027074E-2</v>
      </c>
      <c r="I82" s="133">
        <f>Model!L221</f>
        <v>9.6352397104088217E-2</v>
      </c>
      <c r="J82" s="133">
        <f>Model!M221</f>
        <v>0.10286699507393739</v>
      </c>
      <c r="K82" s="133">
        <f>Model!N221</f>
        <v>0.10961787729968185</v>
      </c>
      <c r="L82" s="133">
        <f>Model!O221</f>
        <v>0.11660953981310775</v>
      </c>
      <c r="M82" s="133">
        <f>Model!P221</f>
        <v>0.12384654473654093</v>
      </c>
      <c r="N82" s="133">
        <f>Model!Q221</f>
        <v>0.13133352112852203</v>
      </c>
      <c r="O82" s="133">
        <f>Model!R221</f>
        <v>0.13907516583940518</v>
      </c>
      <c r="P82" s="133">
        <f>Model!S221</f>
        <v>0.1470762443769891</v>
      </c>
      <c r="Q82" s="133">
        <f>Model!T221</f>
        <v>0.15534159178229215</v>
      </c>
    </row>
    <row r="83" spans="3:19" x14ac:dyDescent="0.2">
      <c r="C83" s="3" t="s">
        <v>337</v>
      </c>
      <c r="D83" s="510">
        <f>Model!G233</f>
        <v>0</v>
      </c>
      <c r="E83" s="510">
        <f>Model!H233</f>
        <v>0.15101023128453925</v>
      </c>
      <c r="F83" s="510">
        <f>Model!I233</f>
        <v>0.17421809361194679</v>
      </c>
      <c r="G83" s="510">
        <f>Model!J233</f>
        <v>0.18397430685421581</v>
      </c>
      <c r="H83" s="510">
        <f>Model!K233</f>
        <v>0.19427686803805191</v>
      </c>
      <c r="I83" s="510">
        <f>Model!L233</f>
        <v>0.20515637264818279</v>
      </c>
      <c r="J83" s="510">
        <f>Model!M233</f>
        <v>0.21664512951648104</v>
      </c>
      <c r="K83" s="510">
        <f>Model!N233</f>
        <v>0.22877725676940397</v>
      </c>
      <c r="L83" s="510">
        <f>Model!O233</f>
        <v>0.24158878314849061</v>
      </c>
      <c r="M83" s="510">
        <f>Model!P233</f>
        <v>0.2551177550048061</v>
      </c>
      <c r="N83" s="510">
        <f>Model!Q233</f>
        <v>0.26940434928507528</v>
      </c>
      <c r="O83" s="510">
        <f>Model!R233</f>
        <v>0.28449099284503948</v>
      </c>
      <c r="P83" s="510">
        <f>Model!S233</f>
        <v>0.30042248844436176</v>
      </c>
      <c r="Q83" s="510">
        <f>Model!T233</f>
        <v>0.31724614779724603</v>
      </c>
    </row>
    <row r="84" spans="3:19" x14ac:dyDescent="0.2">
      <c r="C84" s="3" t="s">
        <v>446</v>
      </c>
      <c r="D84" s="188">
        <f>Model!G236</f>
        <v>0</v>
      </c>
      <c r="E84" s="188">
        <f>Model!H236</f>
        <v>3.6242455508289422</v>
      </c>
      <c r="F84" s="188">
        <f>Model!I236</f>
        <v>5.1220119521912348</v>
      </c>
      <c r="G84" s="188">
        <f>Model!J236</f>
        <v>6.3368635893742811</v>
      </c>
      <c r="H84" s="188">
        <f>Model!K236</f>
        <v>7.8232519375094398</v>
      </c>
      <c r="I84" s="188">
        <f>Model!L236</f>
        <v>8.7669179643215589</v>
      </c>
      <c r="J84" s="188">
        <f>Model!M236</f>
        <v>9.8047395758316007</v>
      </c>
      <c r="K84" s="188">
        <f>Model!N236</f>
        <v>10.945030788500818</v>
      </c>
      <c r="L84" s="188">
        <f>Model!O236</f>
        <v>12.196782280668083</v>
      </c>
      <c r="M84" s="188">
        <f>Model!P236</f>
        <v>13.56971338870564</v>
      </c>
      <c r="N84" s="188">
        <f>Model!Q236</f>
        <v>15.074327932568329</v>
      </c>
      <c r="O84" s="188">
        <f>Model!R236</f>
        <v>16.721974143727358</v>
      </c>
      <c r="P84" s="188">
        <f>Model!S236</f>
        <v>18.524908987446334</v>
      </c>
      <c r="Q84" s="188">
        <f>Model!T236</f>
        <v>20.496367191614937</v>
      </c>
      <c r="S84" s="52">
        <f>(Q84/F84)^(1/11)-1</f>
        <v>0.13435438713104997</v>
      </c>
    </row>
    <row r="85" spans="3:19" x14ac:dyDescent="0.2">
      <c r="C85" s="3" t="s">
        <v>606</v>
      </c>
      <c r="D85" s="188"/>
      <c r="E85" s="188"/>
      <c r="F85" s="165">
        <f>F84/E84-1</f>
        <v>0.41326294820717147</v>
      </c>
      <c r="G85" s="165">
        <f t="shared" ref="G85" si="35">G84/F84-1</f>
        <v>0.23718250728862977</v>
      </c>
      <c r="H85" s="165">
        <f t="shared" ref="H85" si="36">H84/G84-1</f>
        <v>0.23456215005599135</v>
      </c>
      <c r="I85" s="165">
        <f t="shared" ref="I85" si="37">I84/H84-1</f>
        <v>0.12062324393358836</v>
      </c>
      <c r="J85" s="165">
        <f t="shared" ref="J85" si="38">J84/I84-1</f>
        <v>0.11837929996991314</v>
      </c>
      <c r="K85" s="165">
        <f t="shared" ref="K85" si="39">K84/J84-1</f>
        <v>0.11630000000000007</v>
      </c>
      <c r="L85" s="165">
        <f t="shared" ref="L85" si="40">L84/K84-1</f>
        <v>0.11436710561676944</v>
      </c>
      <c r="M85" s="165">
        <f t="shared" ref="M85" si="41">M84/L84-1</f>
        <v>0.11256502546689351</v>
      </c>
      <c r="N85" s="165">
        <f t="shared" ref="N85" si="42">N84/M84-1</f>
        <v>0.11088034807831759</v>
      </c>
      <c r="O85" s="165">
        <f t="shared" ref="O85" si="43">O84/N84-1</f>
        <v>0.10930147058823514</v>
      </c>
      <c r="P85" s="165">
        <f t="shared" ref="P85" si="44">P84/O84-1</f>
        <v>0.1078183011301499</v>
      </c>
      <c r="Q85" s="165">
        <f t="shared" ref="Q85" si="45">Q84/P84-1</f>
        <v>0.10642201834862397</v>
      </c>
    </row>
    <row r="86" spans="3:19" x14ac:dyDescent="0.2">
      <c r="C86" s="1" t="s">
        <v>607</v>
      </c>
      <c r="F86" s="133">
        <f>Model!I228</f>
        <v>0.55200000000000005</v>
      </c>
      <c r="G86" s="133">
        <f>Model!J228</f>
        <v>0.288731778425656</v>
      </c>
      <c r="H86" s="133">
        <f>Model!K228</f>
        <v>0.28600223964165772</v>
      </c>
      <c r="I86" s="133">
        <f>Model!L228</f>
        <v>0.16731587909748802</v>
      </c>
      <c r="J86" s="133">
        <f>Model!M228</f>
        <v>0.16497843746865937</v>
      </c>
      <c r="K86" s="133">
        <f>Model!N228</f>
        <v>0.16281250000000025</v>
      </c>
      <c r="L86" s="133">
        <f>Model!O228</f>
        <v>0.1607990683508016</v>
      </c>
      <c r="M86" s="133">
        <f>Model!P228</f>
        <v>0.15892190152801389</v>
      </c>
      <c r="N86" s="133">
        <f>Model!Q228</f>
        <v>0.15716702924824744</v>
      </c>
      <c r="O86" s="133">
        <f>Model!R228</f>
        <v>0.15552236519607843</v>
      </c>
      <c r="P86" s="133">
        <f>Model!S228</f>
        <v>0.15397739701057245</v>
      </c>
      <c r="Q86" s="133">
        <f>Model!T228</f>
        <v>0.15252293577981657</v>
      </c>
    </row>
    <row r="88" spans="3:19" x14ac:dyDescent="0.2">
      <c r="C88" s="2" t="s">
        <v>167</v>
      </c>
      <c r="D88" s="1">
        <v>2022</v>
      </c>
      <c r="E88" s="1">
        <f>D88+1</f>
        <v>2023</v>
      </c>
      <c r="F88" s="1">
        <f t="shared" ref="F88" si="46">E88+1</f>
        <v>2024</v>
      </c>
      <c r="G88" s="189">
        <f>F88+1</f>
        <v>2025</v>
      </c>
      <c r="H88" s="189">
        <f t="shared" ref="H88" si="47">G88+1</f>
        <v>2026</v>
      </c>
      <c r="I88" s="189">
        <f t="shared" ref="I88" si="48">H88+1</f>
        <v>2027</v>
      </c>
      <c r="J88" s="189">
        <f t="shared" ref="J88" si="49">I88+1</f>
        <v>2028</v>
      </c>
      <c r="K88" s="189">
        <f t="shared" ref="K88" si="50">J88+1</f>
        <v>2029</v>
      </c>
      <c r="L88" s="189">
        <f t="shared" ref="L88" si="51">K88+1</f>
        <v>2030</v>
      </c>
      <c r="M88" s="189">
        <f t="shared" ref="M88" si="52">L88+1</f>
        <v>2031</v>
      </c>
      <c r="N88" s="189">
        <f t="shared" ref="N88" si="53">M88+1</f>
        <v>2032</v>
      </c>
      <c r="O88" s="189">
        <f t="shared" ref="O88" si="54">N88+1</f>
        <v>2033</v>
      </c>
      <c r="P88" s="189">
        <f t="shared" ref="P88" si="55">O88+1</f>
        <v>2034</v>
      </c>
      <c r="Q88" s="189">
        <f t="shared" ref="Q88" si="56">P88+1</f>
        <v>2035</v>
      </c>
    </row>
    <row r="89" spans="3:19" x14ac:dyDescent="0.2">
      <c r="C89" s="3" t="s">
        <v>447</v>
      </c>
      <c r="D89" s="282">
        <f>Model!G311/1000</f>
        <v>0</v>
      </c>
      <c r="E89" s="282">
        <f>Model!H311/1000</f>
        <v>0</v>
      </c>
      <c r="F89" s="282">
        <f>Model!I311/1000</f>
        <v>2.8622327075999996</v>
      </c>
      <c r="G89" s="282">
        <f>Model!J311/1000</f>
        <v>3.6055045662719993</v>
      </c>
      <c r="H89" s="282">
        <f>Model!K311/1000</f>
        <v>4.2379701589388796</v>
      </c>
      <c r="I89" s="282">
        <f>Model!L311/1000</f>
        <v>4.7566008385036511</v>
      </c>
      <c r="J89" s="282">
        <f>Model!M311/1000</f>
        <v>5.1585058902381045</v>
      </c>
      <c r="K89" s="282">
        <f>Model!N311/1000</f>
        <v>5.4409295048342807</v>
      </c>
      <c r="L89" s="282">
        <f>Model!O311/1000</f>
        <v>5.6012478020088103</v>
      </c>
      <c r="M89" s="282">
        <f>Model!P311/1000</f>
        <v>5.7622318129109882</v>
      </c>
      <c r="N89" s="282">
        <f>Model!Q311/1000</f>
        <v>5.9238319935423904</v>
      </c>
      <c r="O89" s="282">
        <f>Model!R311/1000</f>
        <v>6.0859997790605469</v>
      </c>
      <c r="P89" s="282">
        <f>Model!S311/1000</f>
        <v>6.2486875694508024</v>
      </c>
      <c r="Q89" s="282">
        <f>Model!T311/1000</f>
        <v>6.4118487153794321</v>
      </c>
    </row>
    <row r="90" spans="3:19" x14ac:dyDescent="0.2">
      <c r="C90" s="3" t="s">
        <v>448</v>
      </c>
      <c r="D90" s="133"/>
      <c r="E90" s="133"/>
      <c r="F90" s="133">
        <f>Model!I313</f>
        <v>7.5600000000000001E-2</v>
      </c>
      <c r="G90" s="133">
        <f>Model!J313</f>
        <v>9.5999999999999988E-2</v>
      </c>
      <c r="H90" s="133">
        <f>Model!K313</f>
        <v>0.11375</v>
      </c>
      <c r="I90" s="133">
        <f>Model!L313</f>
        <v>0.12869999999999998</v>
      </c>
      <c r="J90" s="133">
        <f>Model!M313</f>
        <v>0.14069999999999999</v>
      </c>
      <c r="K90" s="133">
        <f>Model!N313</f>
        <v>0.14959999999999998</v>
      </c>
      <c r="L90" s="133">
        <f>Model!O313</f>
        <v>0.15525</v>
      </c>
      <c r="M90" s="133">
        <f>Model!P313</f>
        <v>0.16099999999999998</v>
      </c>
      <c r="N90" s="133">
        <f>Model!Q313</f>
        <v>0.16685</v>
      </c>
      <c r="O90" s="133">
        <f>Model!R313</f>
        <v>0.17280000000000004</v>
      </c>
      <c r="P90" s="133">
        <f>Model!S313</f>
        <v>0.17885000000000001</v>
      </c>
      <c r="Q90" s="133">
        <f>Model!T313</f>
        <v>0.18500000000000003</v>
      </c>
    </row>
    <row r="91" spans="3:19" x14ac:dyDescent="0.2">
      <c r="C91" s="3" t="s">
        <v>449</v>
      </c>
      <c r="D91" s="188">
        <f>Model!G338</f>
        <v>0</v>
      </c>
      <c r="E91" s="188">
        <f>Model!H338</f>
        <v>0</v>
      </c>
      <c r="F91" s="188">
        <f>Model!I338</f>
        <v>1.9506916116596942</v>
      </c>
      <c r="G91" s="188">
        <f>Model!J338</f>
        <v>2.0629266042281462</v>
      </c>
      <c r="H91" s="188">
        <f>Model!K338</f>
        <v>2.1816191493290167</v>
      </c>
      <c r="I91" s="188">
        <f>Model!L338</f>
        <v>2.3071407887048108</v>
      </c>
      <c r="J91" s="188">
        <f>Model!M338</f>
        <v>2.4398844411237315</v>
      </c>
      <c r="K91" s="188">
        <f>Model!N338</f>
        <v>2.5802656323282274</v>
      </c>
      <c r="L91" s="188">
        <f>Model!O338</f>
        <v>2.7287237957498638</v>
      </c>
      <c r="M91" s="188">
        <f>Model!P338</f>
        <v>2.8857236480621289</v>
      </c>
      <c r="N91" s="188">
        <f>Model!Q338</f>
        <v>3.0517566438770318</v>
      </c>
      <c r="O91" s="188">
        <f>Model!R338</f>
        <v>3.2273425141391399</v>
      </c>
      <c r="P91" s="188">
        <f>Model!S338</f>
        <v>3.4130308930326509</v>
      </c>
      <c r="Q91" s="188">
        <f>Model!T338</f>
        <v>3.6094030384941767</v>
      </c>
    </row>
    <row r="92" spans="3:19" x14ac:dyDescent="0.2">
      <c r="C92" s="3" t="s">
        <v>450</v>
      </c>
      <c r="D92" s="284">
        <f>Model!G344</f>
        <v>40.262003485367465</v>
      </c>
      <c r="E92" s="284">
        <f>Model!H344</f>
        <v>51.937984496124031</v>
      </c>
      <c r="F92" s="284">
        <f>Model!I344</f>
        <v>67</v>
      </c>
      <c r="G92" s="284">
        <f>Model!J344</f>
        <v>89.254695497142862</v>
      </c>
      <c r="H92" s="284">
        <f>Model!K344</f>
        <v>110.94764223631198</v>
      </c>
      <c r="I92" s="284">
        <f>Model!L344</f>
        <v>131.68977372119136</v>
      </c>
      <c r="J92" s="284">
        <f>Model!M344</f>
        <v>151.0338991324449</v>
      </c>
      <c r="K92" s="284">
        <f>Model!N344</f>
        <v>168.46852091093442</v>
      </c>
      <c r="L92" s="284">
        <f>Model!O344</f>
        <v>183.41109795879677</v>
      </c>
      <c r="M92" s="284">
        <f>Model!P344</f>
        <v>199.53850329759783</v>
      </c>
      <c r="N92" s="284">
        <f>Model!Q344</f>
        <v>216.93712372205175</v>
      </c>
      <c r="O92" s="284">
        <f>Model!R344</f>
        <v>235.69926993604221</v>
      </c>
      <c r="P92" s="284">
        <f>Model!S344</f>
        <v>255.92356458533635</v>
      </c>
      <c r="Q92" s="284">
        <f>Model!T344</f>
        <v>277.71535482786612</v>
      </c>
      <c r="S92" s="52">
        <f>(Q92/F92)^(1/11)-1</f>
        <v>0.13799052086260266</v>
      </c>
    </row>
    <row r="93" spans="3:19" x14ac:dyDescent="0.2">
      <c r="C93" s="3" t="s">
        <v>606</v>
      </c>
      <c r="F93" s="165">
        <f>F92/E92-1</f>
        <v>0.29000000000000004</v>
      </c>
      <c r="G93" s="165">
        <f t="shared" ref="G93" si="57">G92/F92-1</f>
        <v>0.33215963428571427</v>
      </c>
      <c r="H93" s="165">
        <f t="shared" ref="H93" si="58">H92/G92-1</f>
        <v>0.24304544000000017</v>
      </c>
      <c r="I93" s="165">
        <f t="shared" ref="I93" si="59">I92/H92-1</f>
        <v>0.18695423414857126</v>
      </c>
      <c r="J93" s="165">
        <f t="shared" ref="J93" si="60">J92/I92-1</f>
        <v>0.14689162920279752</v>
      </c>
      <c r="K93" s="165">
        <f t="shared" ref="K93" si="61">K92/J92-1</f>
        <v>0.1154351564690832</v>
      </c>
      <c r="L93" s="165">
        <f t="shared" ref="L93" si="62">L92/K92-1</f>
        <v>8.8696552727272726E-2</v>
      </c>
      <c r="M93" s="165">
        <f t="shared" ref="M93" si="63">M92/L92-1</f>
        <v>8.7930368000000092E-2</v>
      </c>
      <c r="N93" s="165">
        <f t="shared" ref="N93" si="64">N92/M92-1</f>
        <v>8.7194301535403973E-2</v>
      </c>
      <c r="O93" s="165">
        <f t="shared" ref="O93" si="65">O92/N92-1</f>
        <v>8.6486562982319493E-2</v>
      </c>
      <c r="P93" s="165">
        <f t="shared" ref="P93" si="66">P92/O92-1</f>
        <v>8.5805503999999866E-2</v>
      </c>
      <c r="Q93" s="165">
        <f t="shared" ref="Q93" si="67">Q92/P92-1</f>
        <v>8.5149604249371125E-2</v>
      </c>
    </row>
    <row r="94" spans="3:19" x14ac:dyDescent="0.2">
      <c r="C94" s="1" t="s">
        <v>607</v>
      </c>
      <c r="F94" s="133">
        <f>Model!I328</f>
        <v>0.41663658736669396</v>
      </c>
      <c r="G94" s="133">
        <f>Model!J328</f>
        <v>0.38766628571428563</v>
      </c>
      <c r="H94" s="133">
        <f>Model!K328</f>
        <v>0.29483900000000007</v>
      </c>
      <c r="I94" s="133">
        <f>Model!L328</f>
        <v>0.23641066057142845</v>
      </c>
      <c r="J94" s="133">
        <f>Model!M328</f>
        <v>0.19467878041958064</v>
      </c>
      <c r="K94" s="133">
        <f>Model!N328</f>
        <v>0.1619116213219618</v>
      </c>
      <c r="L94" s="133">
        <f>Model!O328</f>
        <v>0.13405890909090923</v>
      </c>
      <c r="M94" s="133">
        <f>Model!P328</f>
        <v>0.13326080000000018</v>
      </c>
      <c r="N94" s="133">
        <f>Model!Q328</f>
        <v>0.13249406409937903</v>
      </c>
      <c r="O94" s="133">
        <f>Model!R328</f>
        <v>0.1317568364399162</v>
      </c>
      <c r="P94" s="133">
        <f>Model!S328</f>
        <v>0.1310473999999997</v>
      </c>
      <c r="Q94" s="133">
        <f>Model!T328</f>
        <v>0.13036417109309495</v>
      </c>
    </row>
    <row r="96" spans="3:19" x14ac:dyDescent="0.2">
      <c r="C96" s="2" t="s">
        <v>181</v>
      </c>
      <c r="D96" s="2">
        <v>2022</v>
      </c>
      <c r="E96" s="2">
        <f>D96+1</f>
        <v>2023</v>
      </c>
      <c r="F96" s="2">
        <f t="shared" ref="F96" si="68">E96+1</f>
        <v>2024</v>
      </c>
      <c r="G96" s="134">
        <f>F96+1</f>
        <v>2025</v>
      </c>
      <c r="H96" s="134">
        <f t="shared" ref="H96" si="69">G96+1</f>
        <v>2026</v>
      </c>
      <c r="I96" s="134">
        <f t="shared" ref="I96" si="70">H96+1</f>
        <v>2027</v>
      </c>
      <c r="J96" s="134">
        <f t="shared" ref="J96" si="71">I96+1</f>
        <v>2028</v>
      </c>
      <c r="K96" s="134">
        <f t="shared" ref="K96" si="72">J96+1</f>
        <v>2029</v>
      </c>
      <c r="L96" s="134">
        <f t="shared" ref="L96" si="73">K96+1</f>
        <v>2030</v>
      </c>
      <c r="M96" s="134">
        <f t="shared" ref="M96" si="74">L96+1</f>
        <v>2031</v>
      </c>
      <c r="N96" s="134">
        <f t="shared" ref="N96" si="75">M96+1</f>
        <v>2032</v>
      </c>
      <c r="O96" s="134">
        <f t="shared" ref="O96" si="76">N96+1</f>
        <v>2033</v>
      </c>
      <c r="P96" s="134">
        <f t="shared" ref="P96" si="77">O96+1</f>
        <v>2034</v>
      </c>
      <c r="Q96" s="134">
        <f t="shared" ref="Q96" si="78">P96+1</f>
        <v>2035</v>
      </c>
    </row>
    <row r="97" spans="3:19" x14ac:dyDescent="0.2">
      <c r="C97" s="1" t="s">
        <v>467</v>
      </c>
      <c r="D97" s="284">
        <f>Model!G284</f>
        <v>0</v>
      </c>
      <c r="E97" s="284">
        <f>Model!H284</f>
        <v>4.3075820980547181</v>
      </c>
      <c r="F97" s="284">
        <f>Model!I284</f>
        <v>11.588645418326694</v>
      </c>
      <c r="G97" s="284">
        <f>Model!J284</f>
        <v>22.250199203187254</v>
      </c>
      <c r="H97" s="284">
        <f>Model!K284</f>
        <v>36.312325099601594</v>
      </c>
      <c r="I97" s="284">
        <f>Model!L284</f>
        <v>51.941149822470116</v>
      </c>
      <c r="J97" s="284">
        <f>Model!M284</f>
        <v>66.966685643114275</v>
      </c>
      <c r="K97" s="284">
        <f>Model!N284</f>
        <v>79.723571391384965</v>
      </c>
      <c r="L97" s="284">
        <f>Model!O284</f>
        <v>89.397803553729617</v>
      </c>
      <c r="M97" s="284">
        <f>Model!P284</f>
        <v>95.918751114261454</v>
      </c>
      <c r="N97" s="284">
        <f>Model!Q284</f>
        <v>99.66534981038464</v>
      </c>
      <c r="O97" s="284">
        <f>Model!R284</f>
        <v>102.77033559982566</v>
      </c>
      <c r="P97" s="284">
        <f>Model!S284</f>
        <v>105.24080124440403</v>
      </c>
      <c r="Q97" s="284">
        <f>Model!T284</f>
        <v>107.0967052319704</v>
      </c>
      <c r="S97" s="52">
        <f>(Q97/F97)^(1/11)-1</f>
        <v>0.22403787927243313</v>
      </c>
    </row>
    <row r="98" spans="3:19" x14ac:dyDescent="0.2">
      <c r="C98" s="3" t="s">
        <v>606</v>
      </c>
      <c r="F98" s="165">
        <f>F97/E97-1</f>
        <v>1.6902900872301578</v>
      </c>
      <c r="G98" s="165">
        <f t="shared" ref="G98" si="79">G97/F97-1</f>
        <v>0.92000000000000015</v>
      </c>
      <c r="H98" s="165">
        <f t="shared" ref="H98" si="80">H97/G97-1</f>
        <v>0.6319999999999999</v>
      </c>
      <c r="I98" s="165">
        <f t="shared" ref="I98" si="81">I97/H97-1</f>
        <v>0.43039999999999989</v>
      </c>
      <c r="J98" s="165">
        <f t="shared" ref="J98" si="82">J97/I97-1</f>
        <v>0.28927999999999998</v>
      </c>
      <c r="K98" s="165">
        <f t="shared" ref="K98" si="83">K97/J97-1</f>
        <v>0.190496</v>
      </c>
      <c r="L98" s="165">
        <f t="shared" ref="L98" si="84">L97/K97-1</f>
        <v>0.12134719999999977</v>
      </c>
      <c r="M98" s="165">
        <f t="shared" ref="M98" si="85">M97/L97-1</f>
        <v>7.2943039999999959E-2</v>
      </c>
      <c r="N98" s="165">
        <f t="shared" ref="N98" si="86">N97/M97-1</f>
        <v>3.9060127999999805E-2</v>
      </c>
      <c r="O98" s="165">
        <f t="shared" ref="O98" si="87">O97/N97-1</f>
        <v>3.1154115199999888E-2</v>
      </c>
      <c r="P98" s="165">
        <f t="shared" ref="P98" si="88">P97/O97-1</f>
        <v>2.4038703680000051E-2</v>
      </c>
      <c r="Q98" s="165">
        <f t="shared" ref="Q98" si="89">Q97/P97-1</f>
        <v>1.7634833311999998E-2</v>
      </c>
    </row>
    <row r="99" spans="3:19" x14ac:dyDescent="0.2">
      <c r="C99" s="1" t="s">
        <v>607</v>
      </c>
      <c r="F99" s="133">
        <f>Model!I279</f>
        <v>1.9543902079071129</v>
      </c>
      <c r="G99" s="133">
        <f>Model!J279</f>
        <v>1</v>
      </c>
      <c r="H99" s="133">
        <f>Model!K279</f>
        <v>0.7</v>
      </c>
      <c r="I99" s="133">
        <f>Model!L279</f>
        <v>0.48999999999999994</v>
      </c>
      <c r="J99" s="133">
        <f>Model!M279</f>
        <v>0.34299999999999992</v>
      </c>
      <c r="K99" s="133">
        <f>Model!N279</f>
        <v>0.24009999999999992</v>
      </c>
      <c r="L99" s="133">
        <f>Model!O279</f>
        <v>0.16806999999999994</v>
      </c>
      <c r="M99" s="133">
        <f>Model!P279</f>
        <v>0.11764899999999995</v>
      </c>
      <c r="N99" s="133">
        <f>Model!Q279</f>
        <v>8.2354299999999964E-2</v>
      </c>
      <c r="O99" s="133">
        <f>Model!R279</f>
        <v>7.4118869999999976E-2</v>
      </c>
      <c r="P99" s="133">
        <f>Model!S279</f>
        <v>6.6706982999999984E-2</v>
      </c>
      <c r="Q99" s="133">
        <f>Model!T279</f>
        <v>6.0036284699999984E-2</v>
      </c>
    </row>
    <row r="101" spans="3:19" x14ac:dyDescent="0.2">
      <c r="C101" s="2" t="s">
        <v>469</v>
      </c>
      <c r="D101" s="2">
        <v>2022</v>
      </c>
      <c r="E101" s="2">
        <f>D101+1</f>
        <v>2023</v>
      </c>
      <c r="F101" s="2">
        <f t="shared" ref="F101" si="90">E101+1</f>
        <v>2024</v>
      </c>
      <c r="G101" s="134">
        <f>F101+1</f>
        <v>2025</v>
      </c>
      <c r="H101" s="134">
        <f t="shared" ref="H101" si="91">G101+1</f>
        <v>2026</v>
      </c>
      <c r="I101" s="134">
        <f t="shared" ref="I101" si="92">H101+1</f>
        <v>2027</v>
      </c>
      <c r="J101" s="134">
        <f t="shared" ref="J101" si="93">I101+1</f>
        <v>2028</v>
      </c>
      <c r="K101" s="134">
        <f t="shared" ref="K101" si="94">J101+1</f>
        <v>2029</v>
      </c>
      <c r="L101" s="134">
        <f t="shared" ref="L101" si="95">K101+1</f>
        <v>2030</v>
      </c>
      <c r="M101" s="134">
        <f t="shared" ref="M101" si="96">L101+1</f>
        <v>2031</v>
      </c>
      <c r="N101" s="134">
        <f t="shared" ref="N101" si="97">M101+1</f>
        <v>2032</v>
      </c>
      <c r="O101" s="134">
        <f t="shared" ref="O101" si="98">N101+1</f>
        <v>2033</v>
      </c>
      <c r="P101" s="134">
        <f t="shared" ref="P101" si="99">O101+1</f>
        <v>2034</v>
      </c>
      <c r="Q101" s="134">
        <f t="shared" ref="Q101" si="100">P101+1</f>
        <v>2035</v>
      </c>
    </row>
    <row r="102" spans="3:19" x14ac:dyDescent="0.2">
      <c r="C102" s="110" t="s">
        <v>164</v>
      </c>
      <c r="E102" s="70">
        <f>Model!H199</f>
        <v>3.6242455508289422</v>
      </c>
      <c r="F102" s="70">
        <f>Model!I199</f>
        <v>5.1220119521912348</v>
      </c>
      <c r="G102" s="70">
        <f>Model!J199</f>
        <v>6.3368635893742811</v>
      </c>
      <c r="H102" s="70">
        <f>Model!K199</f>
        <v>7.8232519375094398</v>
      </c>
      <c r="I102" s="70">
        <f>Model!L199</f>
        <v>8.7669179643215589</v>
      </c>
      <c r="J102" s="70">
        <f>Model!M199</f>
        <v>9.8047395758316007</v>
      </c>
      <c r="K102" s="70">
        <f>Model!N199</f>
        <v>10.945030788500818</v>
      </c>
      <c r="L102" s="70">
        <f>Model!O199</f>
        <v>12.196782280668083</v>
      </c>
      <c r="M102" s="70">
        <f>Model!P199</f>
        <v>13.56971338870564</v>
      </c>
      <c r="N102" s="70">
        <f>Model!Q199</f>
        <v>15.074327932568329</v>
      </c>
      <c r="O102" s="70">
        <f>Model!R199</f>
        <v>16.721974143727358</v>
      </c>
      <c r="P102" s="70">
        <f>Model!S199</f>
        <v>18.524908987446334</v>
      </c>
      <c r="Q102" s="70">
        <f>Model!T199</f>
        <v>20.496367191614937</v>
      </c>
      <c r="S102" s="52">
        <f>(Q102/F102)^(1/11)-1</f>
        <v>0.13435438713104997</v>
      </c>
    </row>
    <row r="103" spans="3:19" x14ac:dyDescent="0.2">
      <c r="C103" s="110" t="s">
        <v>1085</v>
      </c>
      <c r="D103" s="13"/>
      <c r="E103" s="70">
        <f>Model!H200</f>
        <v>2.8967203412722049</v>
      </c>
      <c r="F103" s="70">
        <f>Model!I200</f>
        <v>5.2016932270916341</v>
      </c>
      <c r="G103" s="70">
        <f>Model!J200</f>
        <v>7.808214415067007</v>
      </c>
      <c r="H103" s="70">
        <f>Model!K200</f>
        <v>10.079351608837378</v>
      </c>
      <c r="I103" s="70">
        <f>Model!L200</f>
        <v>12.620500140162546</v>
      </c>
      <c r="J103" s="70">
        <f>Model!M200</f>
        <v>15.396562257975148</v>
      </c>
      <c r="K103" s="70">
        <f>Model!N200</f>
        <v>18.364835308332047</v>
      </c>
      <c r="L103" s="70">
        <f>Model!O200</f>
        <v>21.477622221650254</v>
      </c>
      <c r="M103" s="70">
        <f>Model!P200</f>
        <v>24.684818790597532</v>
      </c>
      <c r="N103" s="70">
        <f>Model!Q200</f>
        <v>27.936279814226644</v>
      </c>
      <c r="O103" s="70">
        <f>Model!R200</f>
        <v>31.183830633146851</v>
      </c>
      <c r="P103" s="70">
        <f>Model!S200</f>
        <v>34.382852747850308</v>
      </c>
      <c r="Q103" s="70">
        <f>Model!T200</f>
        <v>37.49342506839227</v>
      </c>
      <c r="S103" s="52">
        <f>(Q103/F103)^(1/11)-1</f>
        <v>0.19669303069458066</v>
      </c>
    </row>
    <row r="104" spans="3:19" x14ac:dyDescent="0.2">
      <c r="C104" s="110" t="s">
        <v>166</v>
      </c>
      <c r="D104" s="13"/>
      <c r="E104" s="70">
        <f>Model!H201</f>
        <v>4.3075820980547181</v>
      </c>
      <c r="F104" s="70">
        <f>Model!I201</f>
        <v>11.588645418326694</v>
      </c>
      <c r="G104" s="70">
        <f>Model!J201</f>
        <v>22.250199203187254</v>
      </c>
      <c r="H104" s="70">
        <f>Model!K201</f>
        <v>36.312325099601594</v>
      </c>
      <c r="I104" s="70">
        <f>Model!L201</f>
        <v>51.941149822470116</v>
      </c>
      <c r="J104" s="70">
        <f>Model!M201</f>
        <v>66.966685643114275</v>
      </c>
      <c r="K104" s="70">
        <f>Model!N201</f>
        <v>79.723571391384965</v>
      </c>
      <c r="L104" s="70">
        <f>Model!O201</f>
        <v>89.397803553729617</v>
      </c>
      <c r="M104" s="70">
        <f>Model!P201</f>
        <v>95.918751114261454</v>
      </c>
      <c r="N104" s="70">
        <f>Model!Q201</f>
        <v>99.66534981038464</v>
      </c>
      <c r="O104" s="70">
        <f>Model!R201</f>
        <v>102.77033559982566</v>
      </c>
      <c r="P104" s="70">
        <f>Model!S201</f>
        <v>105.24080124440403</v>
      </c>
      <c r="Q104" s="70">
        <f>Model!T201</f>
        <v>107.0967052319704</v>
      </c>
      <c r="S104" s="52">
        <f>(Q104/F104)^(1/11)-1</f>
        <v>0.22403787927243313</v>
      </c>
    </row>
    <row r="105" spans="3:19" x14ac:dyDescent="0.2">
      <c r="C105" s="110" t="s">
        <v>167</v>
      </c>
      <c r="D105" s="13"/>
      <c r="E105" s="70">
        <f>Model!H202</f>
        <v>0</v>
      </c>
      <c r="F105" s="70">
        <f>Model!I202</f>
        <v>0</v>
      </c>
      <c r="G105" s="70">
        <f>Model!J202</f>
        <v>75.866491172571429</v>
      </c>
      <c r="H105" s="70">
        <f>Model!K202</f>
        <v>110.94764223631198</v>
      </c>
      <c r="I105" s="70">
        <f>Model!L202</f>
        <v>131.68977372119136</v>
      </c>
      <c r="J105" s="70">
        <f>Model!M202</f>
        <v>151.0338991324449</v>
      </c>
      <c r="K105" s="70">
        <f>Model!N202</f>
        <v>168.46852091093442</v>
      </c>
      <c r="L105" s="70">
        <f>Model!O202</f>
        <v>183.41109795879677</v>
      </c>
      <c r="M105" s="70">
        <f>Model!P202</f>
        <v>199.53850329759783</v>
      </c>
      <c r="N105" s="70">
        <f>Model!Q202</f>
        <v>216.93712372205175</v>
      </c>
      <c r="O105" s="70">
        <f>Model!R202</f>
        <v>235.69926993604221</v>
      </c>
      <c r="P105" s="70">
        <f>Model!S202</f>
        <v>255.92356458533635</v>
      </c>
      <c r="Q105" s="70">
        <f>Model!T202</f>
        <v>277.71535482786612</v>
      </c>
      <c r="S105" s="52"/>
    </row>
    <row r="106" spans="3:19" x14ac:dyDescent="0.2">
      <c r="C106" s="110" t="s">
        <v>391</v>
      </c>
      <c r="D106" s="13"/>
      <c r="E106" s="70">
        <f>Model!H203</f>
        <v>0</v>
      </c>
      <c r="F106" s="70">
        <f>Model!I203</f>
        <v>0</v>
      </c>
      <c r="G106" s="70">
        <f>Model!J203</f>
        <v>0</v>
      </c>
      <c r="H106" s="70">
        <f>Model!K203</f>
        <v>0</v>
      </c>
      <c r="I106" s="70">
        <f>Model!L203</f>
        <v>0</v>
      </c>
      <c r="J106" s="70">
        <f>Model!M203</f>
        <v>0</v>
      </c>
      <c r="K106" s="70">
        <f>Model!N203</f>
        <v>0</v>
      </c>
      <c r="L106" s="70">
        <f>Model!O203</f>
        <v>0</v>
      </c>
      <c r="M106" s="70">
        <f>Model!P203</f>
        <v>0</v>
      </c>
      <c r="N106" s="70">
        <f>Model!Q203</f>
        <v>0</v>
      </c>
      <c r="O106" s="70">
        <f>Model!R203</f>
        <v>0</v>
      </c>
      <c r="P106" s="70">
        <f>Model!S203</f>
        <v>0</v>
      </c>
      <c r="Q106" s="70">
        <f>Model!T203</f>
        <v>0</v>
      </c>
    </row>
    <row r="107" spans="3:19" x14ac:dyDescent="0.2">
      <c r="C107" s="109" t="s">
        <v>168</v>
      </c>
      <c r="D107" s="49"/>
      <c r="E107" s="290">
        <f>Model!H204</f>
        <v>10.828547990155865</v>
      </c>
      <c r="F107" s="290">
        <f>Model!I204</f>
        <v>21.912350597609564</v>
      </c>
      <c r="G107" s="290">
        <f>Model!J204</f>
        <v>112.26176838019997</v>
      </c>
      <c r="H107" s="290">
        <f>Model!K204</f>
        <v>165.16257088226038</v>
      </c>
      <c r="I107" s="290">
        <f>Model!L204</f>
        <v>205.01834164814557</v>
      </c>
      <c r="J107" s="290">
        <f>Model!M204</f>
        <v>243.20188660936589</v>
      </c>
      <c r="K107" s="290">
        <f>Model!N204</f>
        <v>277.50195839915222</v>
      </c>
      <c r="L107" s="290">
        <f>Model!O204</f>
        <v>306.48330601484474</v>
      </c>
      <c r="M107" s="290">
        <f>Model!P204</f>
        <v>333.71178659116242</v>
      </c>
      <c r="N107" s="290">
        <f>Model!Q204</f>
        <v>359.61308127923144</v>
      </c>
      <c r="O107" s="290">
        <f>Model!R204</f>
        <v>386.37541031274208</v>
      </c>
      <c r="P107" s="290">
        <f>Model!S204</f>
        <v>414.07212756503702</v>
      </c>
      <c r="Q107" s="290">
        <f>Model!T204</f>
        <v>442.8018523198437</v>
      </c>
      <c r="S107" s="52">
        <f>(Q107/F107)^(1/11)-1</f>
        <v>0.3142672268291069</v>
      </c>
    </row>
    <row r="108" spans="3:19" x14ac:dyDescent="0.2">
      <c r="C108" s="289" t="s">
        <v>1123</v>
      </c>
      <c r="D108" s="13"/>
      <c r="E108" s="509">
        <f>Model!H206</f>
        <v>1.1834478677765973E-2</v>
      </c>
      <c r="F108" s="509">
        <f>Model!I206</f>
        <v>2.384368944244784E-2</v>
      </c>
      <c r="G108" s="509">
        <f>Model!J206</f>
        <v>0.1087240061409358</v>
      </c>
      <c r="H108" s="509">
        <f>Model!K206</f>
        <v>0.14723741103152393</v>
      </c>
      <c r="I108" s="509">
        <f>Model!L206</f>
        <v>0.16965364950411727</v>
      </c>
      <c r="J108" s="509">
        <f>Model!M206</f>
        <v>0.18840846564939159</v>
      </c>
      <c r="K108" s="509">
        <f>Model!N206</f>
        <v>0.20473568847119469</v>
      </c>
      <c r="L108" s="509">
        <f>Model!O206</f>
        <v>0.21537707761576713</v>
      </c>
      <c r="M108" s="509">
        <f>Model!P206</f>
        <v>0.22341009419005656</v>
      </c>
      <c r="N108" s="509">
        <f>Model!Q206</f>
        <v>0.22939327372880006</v>
      </c>
      <c r="O108" s="509">
        <f>Model!R206</f>
        <v>0.23498026482914955</v>
      </c>
      <c r="P108" s="509">
        <f>Model!S206</f>
        <v>0.24023290355590668</v>
      </c>
      <c r="Q108" s="509">
        <f>Model!T206</f>
        <v>0.24511788043120147</v>
      </c>
      <c r="S108" s="52"/>
    </row>
    <row r="109" spans="3:19" x14ac:dyDescent="0.2">
      <c r="D109" s="13"/>
      <c r="E109" s="13"/>
      <c r="F109" s="13"/>
      <c r="G109" s="52">
        <f>G105/Model!J604</f>
        <v>7.3475671826248631E-2</v>
      </c>
      <c r="H109" s="52">
        <f>H105/Model!K604</f>
        <v>9.8906450266940574E-2</v>
      </c>
      <c r="I109" s="52">
        <f>I105/Model!L604</f>
        <v>0.108973911965957</v>
      </c>
      <c r="J109" s="52">
        <f>J105/Model!M604</f>
        <v>0.1170059393589139</v>
      </c>
      <c r="K109" s="52">
        <f>K105/Model!N604</f>
        <v>0.12429288360124738</v>
      </c>
      <c r="L109" s="52">
        <f>L105/Model!O604</f>
        <v>0.1288897160315528</v>
      </c>
      <c r="M109" s="52">
        <f>M105/Model!P604</f>
        <v>0.13358508032224178</v>
      </c>
      <c r="N109" s="52">
        <f>N105/Model!Q604</f>
        <v>0.138381832014811</v>
      </c>
      <c r="O109" s="52">
        <f>O105/Model!R604</f>
        <v>0.14334420719159804</v>
      </c>
      <c r="P109" s="52">
        <f>P105/Model!S604</f>
        <v>0.14847959308503877</v>
      </c>
      <c r="Q109" s="52">
        <f>Q105/Model!T604</f>
        <v>0.15373241729222767</v>
      </c>
    </row>
    <row r="110" spans="3:19" x14ac:dyDescent="0.2">
      <c r="C110" s="1" t="s">
        <v>102</v>
      </c>
      <c r="E110" s="13">
        <f>E107-SUM(E102:E106)</f>
        <v>0</v>
      </c>
      <c r="F110" s="13">
        <f t="shared" ref="F110:Q110" si="101">F107-SUM(F102:F106)</f>
        <v>0</v>
      </c>
      <c r="G110" s="13">
        <f t="shared" si="101"/>
        <v>0</v>
      </c>
      <c r="H110" s="13">
        <f t="shared" si="101"/>
        <v>0</v>
      </c>
      <c r="I110" s="13">
        <f t="shared" si="101"/>
        <v>0</v>
      </c>
      <c r="J110" s="13">
        <f t="shared" si="101"/>
        <v>0</v>
      </c>
      <c r="K110" s="13">
        <f t="shared" si="101"/>
        <v>0</v>
      </c>
      <c r="L110" s="13">
        <f t="shared" si="101"/>
        <v>0</v>
      </c>
      <c r="M110" s="13">
        <f t="shared" si="101"/>
        <v>0</v>
      </c>
      <c r="N110" s="13">
        <f t="shared" si="101"/>
        <v>0</v>
      </c>
      <c r="O110" s="13">
        <f t="shared" si="101"/>
        <v>0</v>
      </c>
      <c r="P110" s="13">
        <f t="shared" si="101"/>
        <v>0</v>
      </c>
      <c r="Q110" s="13">
        <f t="shared" si="101"/>
        <v>0</v>
      </c>
    </row>
    <row r="112" spans="3:19" x14ac:dyDescent="0.2">
      <c r="C112" s="2" t="s">
        <v>469</v>
      </c>
      <c r="D112" s="2">
        <v>2022</v>
      </c>
      <c r="E112" s="2">
        <f>D112+1</f>
        <v>2023</v>
      </c>
      <c r="F112" s="2">
        <f t="shared" ref="F112" si="102">E112+1</f>
        <v>2024</v>
      </c>
      <c r="G112" s="134">
        <f>F112+1</f>
        <v>2025</v>
      </c>
      <c r="H112" s="134">
        <f t="shared" ref="H112" si="103">G112+1</f>
        <v>2026</v>
      </c>
      <c r="I112" s="134">
        <f t="shared" ref="I112" si="104">H112+1</f>
        <v>2027</v>
      </c>
      <c r="J112" s="134">
        <f t="shared" ref="J112" si="105">I112+1</f>
        <v>2028</v>
      </c>
      <c r="K112" s="134">
        <f t="shared" ref="K112" si="106">J112+1</f>
        <v>2029</v>
      </c>
      <c r="L112" s="134">
        <f t="shared" ref="L112" si="107">K112+1</f>
        <v>2030</v>
      </c>
      <c r="M112" s="134">
        <f t="shared" ref="M112" si="108">L112+1</f>
        <v>2031</v>
      </c>
      <c r="N112" s="134">
        <f t="shared" ref="N112" si="109">M112+1</f>
        <v>2032</v>
      </c>
      <c r="O112" s="134">
        <f t="shared" ref="O112" si="110">N112+1</f>
        <v>2033</v>
      </c>
      <c r="P112" s="134">
        <f t="shared" ref="P112" si="111">O112+1</f>
        <v>2034</v>
      </c>
      <c r="Q112" s="134">
        <f t="shared" ref="Q112" si="112">P112+1</f>
        <v>2035</v>
      </c>
    </row>
    <row r="113" spans="3:19" x14ac:dyDescent="0.2">
      <c r="C113" s="110" t="s">
        <v>164</v>
      </c>
      <c r="E113" s="70">
        <f>Model!H199</f>
        <v>3.6242455508289422</v>
      </c>
      <c r="F113" s="70">
        <f>Model!I199</f>
        <v>5.1220119521912348</v>
      </c>
      <c r="G113" s="70">
        <f>Model!J199</f>
        <v>6.3368635893742811</v>
      </c>
      <c r="H113" s="70">
        <f>Model!K199</f>
        <v>7.8232519375094398</v>
      </c>
      <c r="I113" s="70">
        <f>Model!L199</f>
        <v>8.7669179643215589</v>
      </c>
      <c r="J113" s="70">
        <f>Model!M199</f>
        <v>9.8047395758316007</v>
      </c>
      <c r="K113" s="70">
        <f>Model!N199</f>
        <v>10.945030788500818</v>
      </c>
      <c r="L113" s="70">
        <f>Model!O199</f>
        <v>12.196782280668083</v>
      </c>
      <c r="M113" s="70">
        <f>Model!P199</f>
        <v>13.56971338870564</v>
      </c>
      <c r="N113" s="70">
        <f>Model!Q199</f>
        <v>15.074327932568329</v>
      </c>
      <c r="O113" s="70">
        <f>Model!R199</f>
        <v>16.721974143727358</v>
      </c>
      <c r="P113" s="70">
        <f>Model!S199</f>
        <v>18.524908987446334</v>
      </c>
      <c r="Q113" s="70">
        <f>Model!T199</f>
        <v>20.496367191614937</v>
      </c>
      <c r="S113" s="52">
        <f>(Q113/F113)^(1/11)-1</f>
        <v>0.13435438713104997</v>
      </c>
    </row>
    <row r="114" spans="3:19" x14ac:dyDescent="0.2">
      <c r="C114" s="110" t="s">
        <v>1086</v>
      </c>
      <c r="D114" s="13"/>
      <c r="E114" s="70">
        <f>Model!H273</f>
        <v>10.86270127977077</v>
      </c>
      <c r="F114" s="70">
        <f>Model!I273</f>
        <v>19.506349601593627</v>
      </c>
      <c r="G114" s="70">
        <f>Model!J273</f>
        <v>29.280804056501275</v>
      </c>
      <c r="H114" s="70">
        <f>Model!K273</f>
        <v>37.797568533140172</v>
      </c>
      <c r="I114" s="70">
        <f>Model!L273</f>
        <v>47.326875525609545</v>
      </c>
      <c r="J114" s="70">
        <f>Model!M273</f>
        <v>57.737108467406813</v>
      </c>
      <c r="K114" s="70">
        <f>Model!N273</f>
        <v>68.868132406245167</v>
      </c>
      <c r="L114" s="70">
        <f>Model!O273</f>
        <v>80.54108333118846</v>
      </c>
      <c r="M114" s="70">
        <f>Model!P273</f>
        <v>92.568070464740757</v>
      </c>
      <c r="N114" s="70">
        <f>Model!Q273</f>
        <v>104.76104930334992</v>
      </c>
      <c r="O114" s="70">
        <f>Model!R273</f>
        <v>116.93936487430069</v>
      </c>
      <c r="P114" s="70">
        <f>Model!S273</f>
        <v>128.93569780443866</v>
      </c>
      <c r="Q114" s="70">
        <f>Model!T273</f>
        <v>140.60034400647103</v>
      </c>
      <c r="S114" s="52">
        <f>(Q114/F114)^(1/11)-1</f>
        <v>0.19669303069458066</v>
      </c>
    </row>
    <row r="115" spans="3:19" x14ac:dyDescent="0.2">
      <c r="C115" s="110" t="s">
        <v>166</v>
      </c>
      <c r="D115" s="13"/>
      <c r="E115" s="70">
        <f>Model!H201</f>
        <v>4.3075820980547181</v>
      </c>
      <c r="F115" s="70">
        <f>Model!I201</f>
        <v>11.588645418326694</v>
      </c>
      <c r="G115" s="70">
        <f>Model!J201</f>
        <v>22.250199203187254</v>
      </c>
      <c r="H115" s="70">
        <f>Model!K201</f>
        <v>36.312325099601594</v>
      </c>
      <c r="I115" s="70">
        <f>Model!L201</f>
        <v>51.941149822470116</v>
      </c>
      <c r="J115" s="70">
        <f>Model!M201</f>
        <v>66.966685643114275</v>
      </c>
      <c r="K115" s="70">
        <f>Model!N201</f>
        <v>79.723571391384965</v>
      </c>
      <c r="L115" s="70">
        <f>Model!O201</f>
        <v>89.397803553729617</v>
      </c>
      <c r="M115" s="70">
        <f>Model!P201</f>
        <v>95.918751114261454</v>
      </c>
      <c r="N115" s="70">
        <f>Model!Q201</f>
        <v>99.66534981038464</v>
      </c>
      <c r="O115" s="70">
        <f>Model!R201</f>
        <v>102.77033559982566</v>
      </c>
      <c r="P115" s="70">
        <f>Model!S201</f>
        <v>105.24080124440403</v>
      </c>
      <c r="Q115" s="70">
        <f>Model!T201</f>
        <v>107.0967052319704</v>
      </c>
      <c r="S115" s="52">
        <f>(Q115/F115)^(1/11)-1</f>
        <v>0.22403787927243313</v>
      </c>
    </row>
    <row r="116" spans="3:19" x14ac:dyDescent="0.2">
      <c r="C116" s="110" t="s">
        <v>167</v>
      </c>
      <c r="D116" s="13"/>
      <c r="E116" s="70">
        <f>Model!H202</f>
        <v>0</v>
      </c>
      <c r="F116" s="70">
        <f>Model!I202</f>
        <v>0</v>
      </c>
      <c r="G116" s="70">
        <f>Model!J202</f>
        <v>75.866491172571429</v>
      </c>
      <c r="H116" s="70">
        <f>Model!K202</f>
        <v>110.94764223631198</v>
      </c>
      <c r="I116" s="70">
        <f>Model!L202</f>
        <v>131.68977372119136</v>
      </c>
      <c r="J116" s="70">
        <f>Model!M202</f>
        <v>151.0338991324449</v>
      </c>
      <c r="K116" s="70">
        <f>Model!N202</f>
        <v>168.46852091093442</v>
      </c>
      <c r="L116" s="70">
        <f>Model!O202</f>
        <v>183.41109795879677</v>
      </c>
      <c r="M116" s="70">
        <f>Model!P202</f>
        <v>199.53850329759783</v>
      </c>
      <c r="N116" s="70">
        <f>Model!Q202</f>
        <v>216.93712372205175</v>
      </c>
      <c r="O116" s="70">
        <f>Model!R202</f>
        <v>235.69926993604221</v>
      </c>
      <c r="P116" s="70">
        <f>Model!S202</f>
        <v>255.92356458533635</v>
      </c>
      <c r="Q116" s="70">
        <f>Model!T202</f>
        <v>277.71535482786612</v>
      </c>
      <c r="S116" s="52"/>
    </row>
    <row r="117" spans="3:19" x14ac:dyDescent="0.2">
      <c r="C117" s="110" t="s">
        <v>391</v>
      </c>
      <c r="D117" s="13"/>
      <c r="E117" s="70">
        <f>Model!H203</f>
        <v>0</v>
      </c>
      <c r="F117" s="70">
        <f>Model!I203</f>
        <v>0</v>
      </c>
      <c r="G117" s="70">
        <f>Model!J203</f>
        <v>0</v>
      </c>
      <c r="H117" s="70">
        <f>Model!K203</f>
        <v>0</v>
      </c>
      <c r="I117" s="70">
        <f>Model!L203</f>
        <v>0</v>
      </c>
      <c r="J117" s="70">
        <f>Model!M203</f>
        <v>0</v>
      </c>
      <c r="K117" s="70">
        <f>Model!N203</f>
        <v>0</v>
      </c>
      <c r="L117" s="70">
        <f>Model!O203</f>
        <v>0</v>
      </c>
      <c r="M117" s="70">
        <f>Model!P203</f>
        <v>0</v>
      </c>
      <c r="N117" s="70">
        <f>Model!Q203</f>
        <v>0</v>
      </c>
      <c r="O117" s="70">
        <f>Model!R203</f>
        <v>0</v>
      </c>
      <c r="P117" s="70">
        <f>Model!S203</f>
        <v>0</v>
      </c>
      <c r="Q117" s="70">
        <f>Model!T203</f>
        <v>0</v>
      </c>
    </row>
    <row r="118" spans="3:19" x14ac:dyDescent="0.2">
      <c r="C118" s="109" t="s">
        <v>168</v>
      </c>
      <c r="D118" s="49"/>
      <c r="E118" s="248">
        <f>SUM(E113:E117)</f>
        <v>18.794528928654429</v>
      </c>
      <c r="F118" s="248">
        <f t="shared" ref="F118:Q118" si="113">SUM(F113:F117)</f>
        <v>36.217006972111555</v>
      </c>
      <c r="G118" s="248">
        <f t="shared" si="113"/>
        <v>133.73435802163425</v>
      </c>
      <c r="H118" s="248">
        <f t="shared" si="113"/>
        <v>192.88078780656321</v>
      </c>
      <c r="I118" s="248">
        <f t="shared" si="113"/>
        <v>239.72471703359258</v>
      </c>
      <c r="J118" s="248">
        <f t="shared" si="113"/>
        <v>285.54243281879758</v>
      </c>
      <c r="K118" s="248">
        <f t="shared" si="113"/>
        <v>328.00525549706538</v>
      </c>
      <c r="L118" s="248">
        <f t="shared" si="113"/>
        <v>365.54676712438294</v>
      </c>
      <c r="M118" s="248">
        <f t="shared" si="113"/>
        <v>401.59503826530567</v>
      </c>
      <c r="N118" s="248">
        <f t="shared" si="113"/>
        <v>436.43785076835462</v>
      </c>
      <c r="O118" s="248">
        <f t="shared" si="113"/>
        <v>472.13094455389592</v>
      </c>
      <c r="P118" s="248">
        <f t="shared" si="113"/>
        <v>508.62497262162537</v>
      </c>
      <c r="Q118" s="248">
        <f t="shared" si="113"/>
        <v>545.90877125792258</v>
      </c>
      <c r="S118" s="52">
        <f>(Q118/F118)^(1/11)-1</f>
        <v>0.27970472695689619</v>
      </c>
    </row>
    <row r="119" spans="3:19" x14ac:dyDescent="0.2">
      <c r="C119" s="289" t="s">
        <v>1124</v>
      </c>
      <c r="D119" s="13"/>
      <c r="E119" s="575">
        <f>E118/Model!H$604</f>
        <v>2.0540468774485714E-2</v>
      </c>
      <c r="F119" s="575">
        <f>F118/Model!I$604</f>
        <v>3.9409147956595815E-2</v>
      </c>
      <c r="G119" s="575">
        <f>G118/Model!J$604</f>
        <v>0.12951991913716165</v>
      </c>
      <c r="H119" s="575">
        <f>H118/Model!K$604</f>
        <v>0.17194735879113987</v>
      </c>
      <c r="I119" s="575">
        <f>I118/Model!L$604</f>
        <v>0.19837333964435896</v>
      </c>
      <c r="J119" s="575">
        <f>J118/Model!M$604</f>
        <v>0.22120968054658299</v>
      </c>
      <c r="K119" s="575">
        <f>K118/Model!N$604</f>
        <v>0.24199606443774546</v>
      </c>
      <c r="L119" s="575">
        <f>L118/Model!O$604</f>
        <v>0.25688314139801016</v>
      </c>
      <c r="M119" s="575">
        <f>M118/Model!P$604</f>
        <v>0.26885590779276164</v>
      </c>
      <c r="N119" s="575">
        <f>N118/Model!Q$604</f>
        <v>0.27839895871078341</v>
      </c>
      <c r="O119" s="575">
        <f>O118/Model!R$604</f>
        <v>0.28713383777583606</v>
      </c>
      <c r="P119" s="575">
        <f>P118/Model!S$604</f>
        <v>0.29508978233446742</v>
      </c>
      <c r="Q119" s="575">
        <f>Q118/Model!T$604</f>
        <v>0.30219385989128333</v>
      </c>
    </row>
    <row r="120" spans="3:19" x14ac:dyDescent="0.2">
      <c r="D120" s="13"/>
      <c r="E120" s="13"/>
      <c r="F120" s="13"/>
      <c r="G120" s="52"/>
      <c r="H120" s="52"/>
      <c r="I120" s="52"/>
      <c r="J120" s="52"/>
      <c r="K120" s="52"/>
      <c r="L120" s="52"/>
      <c r="M120" s="52"/>
      <c r="N120" s="52"/>
      <c r="O120" s="52"/>
      <c r="P120" s="52"/>
      <c r="Q120" s="52"/>
    </row>
    <row r="122" spans="3:19" x14ac:dyDescent="0.2">
      <c r="C122" s="75" t="s">
        <v>1131</v>
      </c>
      <c r="D122" s="142">
        <v>2022</v>
      </c>
      <c r="E122" s="142">
        <f>D122+1</f>
        <v>2023</v>
      </c>
      <c r="F122" s="142">
        <f t="shared" ref="F122" si="114">E122+1</f>
        <v>2024</v>
      </c>
      <c r="G122" s="300">
        <f>F122+1</f>
        <v>2025</v>
      </c>
      <c r="H122" s="300">
        <f t="shared" ref="H122" si="115">G122+1</f>
        <v>2026</v>
      </c>
      <c r="I122" s="300">
        <f t="shared" ref="I122" si="116">H122+1</f>
        <v>2027</v>
      </c>
      <c r="J122" s="300">
        <f t="shared" ref="J122" si="117">I122+1</f>
        <v>2028</v>
      </c>
      <c r="K122" s="300">
        <f t="shared" ref="K122" si="118">J122+1</f>
        <v>2029</v>
      </c>
      <c r="L122" s="300">
        <f t="shared" ref="L122" si="119">K122+1</f>
        <v>2030</v>
      </c>
      <c r="M122" s="300">
        <f t="shared" ref="M122" si="120">L122+1</f>
        <v>2031</v>
      </c>
      <c r="N122" s="300">
        <f t="shared" ref="N122" si="121">M122+1</f>
        <v>2032</v>
      </c>
      <c r="O122" s="300">
        <f t="shared" ref="O122" si="122">N122+1</f>
        <v>2033</v>
      </c>
      <c r="P122" s="300">
        <f t="shared" ref="P122" si="123">O122+1</f>
        <v>2034</v>
      </c>
      <c r="Q122" s="300">
        <f t="shared" ref="Q122" si="124">P122+1</f>
        <v>2035</v>
      </c>
    </row>
    <row r="123" spans="3:19" x14ac:dyDescent="0.2">
      <c r="C123" s="2" t="s">
        <v>485</v>
      </c>
      <c r="D123" s="2"/>
      <c r="E123" s="96">
        <f>Model!H604</f>
        <v>915</v>
      </c>
      <c r="F123" s="96">
        <f>Model!I604</f>
        <v>919</v>
      </c>
      <c r="G123" s="96">
        <f>Model!J604</f>
        <v>1032.5389246113527</v>
      </c>
      <c r="H123" s="96">
        <f>Model!K604</f>
        <v>1121.7432425981642</v>
      </c>
      <c r="I123" s="96">
        <f>Model!L604</f>
        <v>1208.4522923461782</v>
      </c>
      <c r="J123" s="96">
        <f>Model!M604</f>
        <v>1290.8224997805519</v>
      </c>
      <c r="K123" s="96">
        <f>Model!N604</f>
        <v>1355.4156604123045</v>
      </c>
      <c r="L123" s="96">
        <f>Model!O604</f>
        <v>1423.008007201264</v>
      </c>
      <c r="M123" s="96">
        <f>Model!P604</f>
        <v>1493.7184812574826</v>
      </c>
      <c r="N123" s="96">
        <f>Model!Q604</f>
        <v>1567.6705573520155</v>
      </c>
      <c r="O123" s="96">
        <f>Model!R604</f>
        <v>1644.2887686490164</v>
      </c>
      <c r="P123" s="96">
        <f>Model!S604</f>
        <v>1723.6278687722504</v>
      </c>
      <c r="Q123" s="96">
        <f>Model!T604</f>
        <v>1806.485318577676</v>
      </c>
    </row>
    <row r="124" spans="3:19" x14ac:dyDescent="0.2">
      <c r="C124" s="452" t="s">
        <v>978</v>
      </c>
      <c r="E124" s="13"/>
      <c r="F124" s="52">
        <f>IFERROR(F123/E123-1,"")</f>
        <v>4.3715846994536456E-3</v>
      </c>
      <c r="G124" s="52">
        <f t="shared" ref="G124" si="125">IFERROR(G123/F123-1,"")</f>
        <v>0.12354616388612927</v>
      </c>
      <c r="H124" s="52">
        <f t="shared" ref="H124" si="126">IFERROR(H123/G123-1,"")</f>
        <v>8.6393176916200076E-2</v>
      </c>
      <c r="I124" s="52">
        <f t="shared" ref="I124" si="127">IFERROR(I123/H123-1,"")</f>
        <v>7.729848191211719E-2</v>
      </c>
      <c r="J124" s="52">
        <f t="shared" ref="J124" si="128">IFERROR(J123/I123-1,"")</f>
        <v>6.8161737088068275E-2</v>
      </c>
      <c r="K124" s="52">
        <f t="shared" ref="K124" si="129">IFERROR(K123/J123-1,"")</f>
        <v>5.0040312004736354E-2</v>
      </c>
      <c r="L124" s="52">
        <f t="shared" ref="L124" si="130">IFERROR(L123/K123-1,"")</f>
        <v>4.9868353128219356E-2</v>
      </c>
      <c r="M124" s="52">
        <f t="shared" ref="M124" si="131">IFERROR(M123/L123-1,"")</f>
        <v>4.969084762586129E-2</v>
      </c>
      <c r="N124" s="52">
        <f t="shared" ref="N124" si="132">IFERROR(N123/M123-1,"")</f>
        <v>4.9508710658970001E-2</v>
      </c>
      <c r="O124" s="52">
        <f t="shared" ref="O124" si="133">IFERROR(O123/N123-1,"")</f>
        <v>4.8873923757564386E-2</v>
      </c>
      <c r="P124" s="52">
        <f t="shared" ref="P124" si="134">IFERROR(P123/O123-1,"")</f>
        <v>4.825131791687709E-2</v>
      </c>
      <c r="Q124" s="52">
        <f t="shared" ref="Q124" si="135">IFERROR(Q123/P123-1,"")</f>
        <v>4.8071542185289307E-2</v>
      </c>
    </row>
    <row r="125" spans="3:19" x14ac:dyDescent="0.2">
      <c r="C125" s="61" t="s">
        <v>976</v>
      </c>
      <c r="E125" s="145">
        <f>(2*E105)</f>
        <v>0</v>
      </c>
      <c r="F125" s="145">
        <f t="shared" ref="F125:Q125" si="136">(2*F105)</f>
        <v>0</v>
      </c>
      <c r="G125" s="145"/>
      <c r="H125" s="145">
        <f>(2*H105)</f>
        <v>221.89528447262396</v>
      </c>
      <c r="I125" s="145">
        <f t="shared" si="136"/>
        <v>263.37954744238272</v>
      </c>
      <c r="J125" s="145">
        <f t="shared" si="136"/>
        <v>302.0677982648898</v>
      </c>
      <c r="K125" s="145">
        <f t="shared" si="136"/>
        <v>336.93704182186883</v>
      </c>
      <c r="L125" s="145">
        <f t="shared" si="136"/>
        <v>366.82219591759355</v>
      </c>
      <c r="M125" s="145">
        <f t="shared" si="136"/>
        <v>399.07700659519566</v>
      </c>
      <c r="N125" s="145">
        <f t="shared" si="136"/>
        <v>433.8742474441035</v>
      </c>
      <c r="O125" s="145">
        <f t="shared" si="136"/>
        <v>471.39853987208443</v>
      </c>
      <c r="P125" s="145">
        <f t="shared" si="136"/>
        <v>511.8471291706727</v>
      </c>
      <c r="Q125" s="145">
        <f t="shared" si="136"/>
        <v>555.43070965573224</v>
      </c>
    </row>
    <row r="126" spans="3:19" x14ac:dyDescent="0.2">
      <c r="C126" s="2" t="s">
        <v>1098</v>
      </c>
      <c r="D126" s="2"/>
      <c r="E126" s="17">
        <f>E123+E125</f>
        <v>915</v>
      </c>
      <c r="F126" s="17">
        <f>F123+F125</f>
        <v>919</v>
      </c>
      <c r="G126" s="17">
        <f>G123+G125</f>
        <v>1032.5389246113527</v>
      </c>
      <c r="H126" s="17">
        <f t="shared" ref="H126:Q126" si="137">H123+H125</f>
        <v>1343.6385270707881</v>
      </c>
      <c r="I126" s="17">
        <f t="shared" si="137"/>
        <v>1471.831839788561</v>
      </c>
      <c r="J126" s="17">
        <f t="shared" si="137"/>
        <v>1592.8902980454418</v>
      </c>
      <c r="K126" s="17">
        <f t="shared" si="137"/>
        <v>1692.3527022341734</v>
      </c>
      <c r="L126" s="17">
        <f t="shared" si="137"/>
        <v>1789.8302031188575</v>
      </c>
      <c r="M126" s="17">
        <f t="shared" si="137"/>
        <v>1892.7954878526782</v>
      </c>
      <c r="N126" s="17">
        <f t="shared" si="137"/>
        <v>2001.544804796119</v>
      </c>
      <c r="O126" s="17">
        <f t="shared" si="137"/>
        <v>2115.6873085211009</v>
      </c>
      <c r="P126" s="17">
        <f t="shared" si="137"/>
        <v>2235.474997942923</v>
      </c>
      <c r="Q126" s="17">
        <f t="shared" si="137"/>
        <v>2361.9160282334083</v>
      </c>
      <c r="S126" s="52">
        <f>((Q126/F126)^(1/11)-1)</f>
        <v>8.960248647959479E-2</v>
      </c>
    </row>
    <row r="127" spans="3:19" x14ac:dyDescent="0.2">
      <c r="C127" s="61" t="s">
        <v>1101</v>
      </c>
      <c r="E127" s="13"/>
      <c r="F127" s="52">
        <f>IFERROR(F126/E126-1,"")</f>
        <v>4.3715846994536456E-3</v>
      </c>
      <c r="G127" s="52">
        <f t="shared" ref="G127:Q127" si="138">IFERROR(G126/F126-1,"")</f>
        <v>0.12354616388612927</v>
      </c>
      <c r="H127" s="52">
        <f t="shared" si="138"/>
        <v>0.30129576236221123</v>
      </c>
      <c r="I127" s="52">
        <f t="shared" si="138"/>
        <v>9.5407589269743465E-2</v>
      </c>
      <c r="J127" s="52">
        <f t="shared" si="138"/>
        <v>8.2250196649008345E-2</v>
      </c>
      <c r="K127" s="52">
        <f t="shared" si="138"/>
        <v>6.2441465247655259E-2</v>
      </c>
      <c r="L127" s="52">
        <f t="shared" si="138"/>
        <v>5.7598809489297631E-2</v>
      </c>
      <c r="M127" s="52">
        <f t="shared" si="138"/>
        <v>5.7527962459455129E-2</v>
      </c>
      <c r="N127" s="52">
        <f t="shared" si="138"/>
        <v>5.7454340757550071E-2</v>
      </c>
      <c r="O127" s="52">
        <f t="shared" si="138"/>
        <v>5.7027203913433633E-2</v>
      </c>
      <c r="P127" s="52">
        <f t="shared" si="138"/>
        <v>5.6618806068064798E-2</v>
      </c>
      <c r="Q127" s="52">
        <f t="shared" si="138"/>
        <v>5.6561147141809265E-2</v>
      </c>
    </row>
    <row r="128" spans="3:19" x14ac:dyDescent="0.2">
      <c r="C128" s="2" t="s">
        <v>977</v>
      </c>
      <c r="E128" s="13">
        <f>E107+E125</f>
        <v>10.828547990155865</v>
      </c>
      <c r="F128" s="13">
        <f t="shared" ref="F128:Q128" si="139">F107+F125</f>
        <v>21.912350597609564</v>
      </c>
      <c r="G128" s="13">
        <f t="shared" si="139"/>
        <v>112.26176838019997</v>
      </c>
      <c r="H128" s="13">
        <f t="shared" si="139"/>
        <v>387.05785535488434</v>
      </c>
      <c r="I128" s="13">
        <f t="shared" si="139"/>
        <v>468.39788909052828</v>
      </c>
      <c r="J128" s="13">
        <f t="shared" si="139"/>
        <v>545.26968487425574</v>
      </c>
      <c r="K128" s="13">
        <f t="shared" si="139"/>
        <v>614.43900022102105</v>
      </c>
      <c r="L128" s="13">
        <f t="shared" si="139"/>
        <v>673.30550193243835</v>
      </c>
      <c r="M128" s="13">
        <f t="shared" si="139"/>
        <v>732.78879318635813</v>
      </c>
      <c r="N128" s="13">
        <f t="shared" si="139"/>
        <v>793.48732872333494</v>
      </c>
      <c r="O128" s="13">
        <f t="shared" si="139"/>
        <v>857.7739501848265</v>
      </c>
      <c r="P128" s="13">
        <f t="shared" si="139"/>
        <v>925.91925673570972</v>
      </c>
      <c r="Q128" s="13">
        <f t="shared" si="139"/>
        <v>998.23256197557589</v>
      </c>
    </row>
    <row r="129" spans="1:18" x14ac:dyDescent="0.2">
      <c r="C129" s="2" t="s">
        <v>470</v>
      </c>
      <c r="D129" s="2"/>
      <c r="E129" s="508">
        <f>E128/E126</f>
        <v>1.1834478677765973E-2</v>
      </c>
      <c r="F129" s="508">
        <f t="shared" ref="F129:Q129" si="140">F128/F126</f>
        <v>2.384368944244784E-2</v>
      </c>
      <c r="G129" s="508">
        <f t="shared" si="140"/>
        <v>0.1087240061409358</v>
      </c>
      <c r="H129" s="508">
        <f t="shared" si="140"/>
        <v>0.28806695220231104</v>
      </c>
      <c r="I129" s="508">
        <f t="shared" si="140"/>
        <v>0.31824144336884091</v>
      </c>
      <c r="J129" s="508">
        <f t="shared" si="140"/>
        <v>0.34231465000655076</v>
      </c>
      <c r="K129" s="508">
        <f t="shared" si="140"/>
        <v>0.36306793460362269</v>
      </c>
      <c r="L129" s="508">
        <f t="shared" si="140"/>
        <v>0.37618400938769164</v>
      </c>
      <c r="M129" s="508">
        <f t="shared" si="140"/>
        <v>0.38714631236662861</v>
      </c>
      <c r="N129" s="508">
        <f t="shared" si="140"/>
        <v>0.39643745512065165</v>
      </c>
      <c r="O129" s="508">
        <f t="shared" si="140"/>
        <v>0.40543512584779084</v>
      </c>
      <c r="P129" s="508">
        <f t="shared" si="140"/>
        <v>0.41419351931367504</v>
      </c>
      <c r="Q129" s="508">
        <f t="shared" si="140"/>
        <v>0.42263677033522756</v>
      </c>
    </row>
    <row r="131" spans="1:18" x14ac:dyDescent="0.2">
      <c r="C131" s="2" t="s">
        <v>1099</v>
      </c>
      <c r="E131" s="13">
        <f>E126-E103+E114</f>
        <v>922.96598093849866</v>
      </c>
      <c r="F131" s="13">
        <f t="shared" ref="F131:Q131" si="141">F126-F103+F114</f>
        <v>933.30465637450197</v>
      </c>
      <c r="G131" s="13">
        <f t="shared" si="141"/>
        <v>1054.011514252787</v>
      </c>
      <c r="H131" s="13">
        <f t="shared" si="141"/>
        <v>1371.3567439950907</v>
      </c>
      <c r="I131" s="13">
        <f t="shared" si="141"/>
        <v>1506.538215174008</v>
      </c>
      <c r="J131" s="13">
        <f t="shared" si="141"/>
        <v>1635.2308442548735</v>
      </c>
      <c r="K131" s="13">
        <f t="shared" si="141"/>
        <v>1742.8559993320866</v>
      </c>
      <c r="L131" s="13">
        <f t="shared" si="141"/>
        <v>1848.8936642283957</v>
      </c>
      <c r="M131" s="13">
        <f t="shared" si="141"/>
        <v>1960.6787395268213</v>
      </c>
      <c r="N131" s="13">
        <f t="shared" si="141"/>
        <v>2078.3695742852424</v>
      </c>
      <c r="O131" s="13">
        <f t="shared" si="141"/>
        <v>2201.4428427622547</v>
      </c>
      <c r="P131" s="13">
        <f t="shared" si="141"/>
        <v>2330.0278429995114</v>
      </c>
      <c r="Q131" s="13">
        <f t="shared" si="141"/>
        <v>2465.022947171487</v>
      </c>
    </row>
    <row r="132" spans="1:18" x14ac:dyDescent="0.2">
      <c r="C132" s="61" t="s">
        <v>1100</v>
      </c>
      <c r="E132" s="13"/>
      <c r="F132" s="52">
        <f>IFERROR(F131/E131-1,"")</f>
        <v>1.1201578009939928E-2</v>
      </c>
      <c r="G132" s="52">
        <f t="shared" ref="G132:Q132" si="142">IFERROR(G131/F131-1,"")</f>
        <v>0.12933275008739442</v>
      </c>
      <c r="H132" s="52">
        <f t="shared" si="142"/>
        <v>0.30108326659721274</v>
      </c>
      <c r="I132" s="52">
        <f t="shared" si="142"/>
        <v>9.8574985517700719E-2</v>
      </c>
      <c r="J132" s="52">
        <f t="shared" si="142"/>
        <v>8.5422744530912142E-2</v>
      </c>
      <c r="K132" s="52">
        <f t="shared" si="142"/>
        <v>6.5816490347731182E-2</v>
      </c>
      <c r="L132" s="52">
        <f t="shared" si="142"/>
        <v>6.0841323056492147E-2</v>
      </c>
      <c r="M132" s="52">
        <f t="shared" si="142"/>
        <v>6.0460521587149874E-2</v>
      </c>
      <c r="N132" s="52">
        <f t="shared" si="142"/>
        <v>6.0025557673371699E-2</v>
      </c>
      <c r="O132" s="52">
        <f t="shared" si="142"/>
        <v>5.9216257781938397E-2</v>
      </c>
      <c r="P132" s="52">
        <f t="shared" si="142"/>
        <v>5.8409420285431946E-2</v>
      </c>
      <c r="Q132" s="52">
        <f t="shared" si="142"/>
        <v>5.7937120613199333E-2</v>
      </c>
    </row>
    <row r="133" spans="1:18" x14ac:dyDescent="0.2">
      <c r="C133" s="2" t="s">
        <v>1096</v>
      </c>
      <c r="E133" s="13">
        <f>E128-E103+E114</f>
        <v>18.794528928654429</v>
      </c>
      <c r="F133" s="13">
        <f t="shared" ref="F133:Q133" si="143">F128-F103+F114</f>
        <v>36.217006972111555</v>
      </c>
      <c r="G133" s="13">
        <f t="shared" si="143"/>
        <v>133.73435802163422</v>
      </c>
      <c r="H133" s="13">
        <f t="shared" si="143"/>
        <v>414.77607227918713</v>
      </c>
      <c r="I133" s="13">
        <f t="shared" si="143"/>
        <v>503.10426447597524</v>
      </c>
      <c r="J133" s="13">
        <f t="shared" si="143"/>
        <v>587.61023108368749</v>
      </c>
      <c r="K133" s="13">
        <f t="shared" si="143"/>
        <v>664.94229731893415</v>
      </c>
      <c r="L133" s="13">
        <f t="shared" si="143"/>
        <v>732.3689630419766</v>
      </c>
      <c r="M133" s="13">
        <f t="shared" si="143"/>
        <v>800.67204486050139</v>
      </c>
      <c r="N133" s="13">
        <f t="shared" si="143"/>
        <v>870.3120982124583</v>
      </c>
      <c r="O133" s="13">
        <f t="shared" si="143"/>
        <v>943.5294844259804</v>
      </c>
      <c r="P133" s="13">
        <f t="shared" si="143"/>
        <v>1020.4721017922981</v>
      </c>
      <c r="Q133" s="13">
        <f t="shared" si="143"/>
        <v>1101.3394809136546</v>
      </c>
    </row>
    <row r="134" spans="1:18" x14ac:dyDescent="0.2">
      <c r="C134" s="2" t="s">
        <v>1097</v>
      </c>
      <c r="E134" s="512">
        <f>E133/E131</f>
        <v>2.0363187069520814E-2</v>
      </c>
      <c r="F134" s="512">
        <f t="shared" ref="F134:Q134" si="144">F133/F131</f>
        <v>3.8805128341263692E-2</v>
      </c>
      <c r="G134" s="512">
        <f t="shared" si="144"/>
        <v>0.12688130652580354</v>
      </c>
      <c r="H134" s="512">
        <f t="shared" si="144"/>
        <v>0.30245672695701709</v>
      </c>
      <c r="I134" s="512">
        <f t="shared" si="144"/>
        <v>0.33394723041782631</v>
      </c>
      <c r="J134" s="512">
        <f t="shared" si="144"/>
        <v>0.35934390128963362</v>
      </c>
      <c r="K134" s="512">
        <f t="shared" si="144"/>
        <v>0.38152451927971071</v>
      </c>
      <c r="L134" s="512">
        <f t="shared" si="144"/>
        <v>0.39611199779172718</v>
      </c>
      <c r="M134" s="512">
        <f t="shared" si="144"/>
        <v>0.40836473039623555</v>
      </c>
      <c r="N134" s="512">
        <f t="shared" si="144"/>
        <v>0.41874751679414923</v>
      </c>
      <c r="O134" s="512">
        <f t="shared" si="144"/>
        <v>0.42859594902863307</v>
      </c>
      <c r="P134" s="512">
        <f t="shared" si="144"/>
        <v>0.43796562554317597</v>
      </c>
      <c r="Q134" s="512">
        <f t="shared" si="144"/>
        <v>0.44678670524239811</v>
      </c>
    </row>
    <row r="135" spans="1:18" x14ac:dyDescent="0.2">
      <c r="C135" s="2"/>
    </row>
    <row r="139" spans="1:18" ht="13.15" customHeight="1" x14ac:dyDescent="0.2">
      <c r="A139" s="1" t="s">
        <v>22</v>
      </c>
      <c r="B139" s="39" t="s">
        <v>121</v>
      </c>
      <c r="C139" s="6"/>
      <c r="D139" s="6"/>
    </row>
    <row r="141" spans="1:18" x14ac:dyDescent="0.2">
      <c r="C141" s="2" t="s">
        <v>123</v>
      </c>
    </row>
    <row r="142" spans="1:18" x14ac:dyDescent="0.2">
      <c r="C142" s="2"/>
    </row>
    <row r="143" spans="1:18" x14ac:dyDescent="0.2">
      <c r="C143" s="2" t="s">
        <v>445</v>
      </c>
      <c r="D143" s="1">
        <v>2023</v>
      </c>
      <c r="E143" s="1">
        <f>D143+1</f>
        <v>2024</v>
      </c>
      <c r="F143" s="189">
        <f>E143+1</f>
        <v>2025</v>
      </c>
      <c r="G143" s="189">
        <f t="shared" ref="G143:P143" si="145">F143+1</f>
        <v>2026</v>
      </c>
      <c r="H143" s="189">
        <f t="shared" si="145"/>
        <v>2027</v>
      </c>
      <c r="I143" s="189">
        <f t="shared" si="145"/>
        <v>2028</v>
      </c>
      <c r="J143" s="189">
        <f t="shared" si="145"/>
        <v>2029</v>
      </c>
      <c r="K143" s="189">
        <f t="shared" si="145"/>
        <v>2030</v>
      </c>
      <c r="L143" s="189">
        <f t="shared" si="145"/>
        <v>2031</v>
      </c>
      <c r="M143" s="189">
        <f t="shared" si="145"/>
        <v>2032</v>
      </c>
      <c r="N143" s="189">
        <f t="shared" si="145"/>
        <v>2033</v>
      </c>
      <c r="O143" s="189">
        <f t="shared" si="145"/>
        <v>2034</v>
      </c>
      <c r="P143" s="189">
        <f t="shared" si="145"/>
        <v>2035</v>
      </c>
    </row>
    <row r="144" spans="1:18" x14ac:dyDescent="0.2">
      <c r="C144" s="3" t="s">
        <v>443</v>
      </c>
      <c r="D144" s="70">
        <f>Model!H624</f>
        <v>900.17145200984419</v>
      </c>
      <c r="E144" s="70">
        <f>Model!I624</f>
        <v>893.08764940239041</v>
      </c>
      <c r="F144" s="70">
        <f>Model!J624</f>
        <v>916.42855065346339</v>
      </c>
      <c r="G144" s="70">
        <f>Model!K624</f>
        <v>952.88601036132206</v>
      </c>
      <c r="H144" s="70">
        <f>Model!L624</f>
        <v>999.88707579763411</v>
      </c>
      <c r="I144" s="70">
        <f>Model!M624</f>
        <v>1044.2156132668035</v>
      </c>
      <c r="J144" s="70">
        <f>Model!N624</f>
        <v>1074.644902104945</v>
      </c>
      <c r="K144" s="70">
        <f>Model!O624</f>
        <v>1113.3866532745405</v>
      </c>
      <c r="L144" s="70">
        <f>Model!P624</f>
        <v>1156.9941686709167</v>
      </c>
      <c r="M144" s="70">
        <f>Model!Q624</f>
        <v>1205.1654511171964</v>
      </c>
      <c r="N144" s="70">
        <f>Model!R624</f>
        <v>1255.1370143789102</v>
      </c>
      <c r="O144" s="70">
        <f>Model!S624</f>
        <v>1306.8904510081438</v>
      </c>
      <c r="P144" s="70">
        <f>Model!T624</f>
        <v>1361.1247876667258</v>
      </c>
      <c r="R144" s="52">
        <f>((P144/E144)^(1/11)-1)</f>
        <v>3.9050640742757325E-2</v>
      </c>
    </row>
    <row r="145" spans="3:18" x14ac:dyDescent="0.2">
      <c r="C145" s="1" t="s">
        <v>120</v>
      </c>
      <c r="D145" s="70">
        <f>Model!H623</f>
        <v>10.828547990155865</v>
      </c>
      <c r="E145" s="70">
        <f>Model!I623</f>
        <v>21.912350597609564</v>
      </c>
      <c r="F145" s="70">
        <f>Model!J623</f>
        <v>112.26176838019997</v>
      </c>
      <c r="G145" s="70">
        <f>Model!K623</f>
        <v>165.16257088226038</v>
      </c>
      <c r="H145" s="70">
        <f>Model!L623</f>
        <v>205.01834164814557</v>
      </c>
      <c r="I145" s="70">
        <f>Model!M623</f>
        <v>243.20188660936589</v>
      </c>
      <c r="J145" s="70">
        <f>Model!N623</f>
        <v>277.50195839915222</v>
      </c>
      <c r="K145" s="70">
        <f>Model!O623</f>
        <v>306.48330601484474</v>
      </c>
      <c r="L145" s="70">
        <f>Model!P623</f>
        <v>333.71178659116242</v>
      </c>
      <c r="M145" s="70">
        <f>Model!Q623</f>
        <v>359.61308127923144</v>
      </c>
      <c r="N145" s="70">
        <f>Model!R623</f>
        <v>386.37541031274208</v>
      </c>
      <c r="O145" s="70">
        <f>Model!S623</f>
        <v>414.07212756503702</v>
      </c>
      <c r="P145" s="70">
        <f>Model!T623</f>
        <v>442.8018523198437</v>
      </c>
      <c r="R145" s="52">
        <f>((P145/E145)^(1/11)-1)</f>
        <v>0.3142672268291069</v>
      </c>
    </row>
    <row r="146" spans="3:18" x14ac:dyDescent="0.2">
      <c r="C146" s="2" t="s">
        <v>444</v>
      </c>
      <c r="D146" s="70">
        <f>Model!H625</f>
        <v>911</v>
      </c>
      <c r="E146" s="70">
        <f>Model!I625</f>
        <v>915</v>
      </c>
      <c r="F146" s="70">
        <f>Model!J625</f>
        <v>1028.6903190336634</v>
      </c>
      <c r="G146" s="70">
        <f>Model!K625</f>
        <v>1118.0485812435825</v>
      </c>
      <c r="H146" s="70">
        <f>Model!L625</f>
        <v>1204.9054174457797</v>
      </c>
      <c r="I146" s="70">
        <f>Model!M625</f>
        <v>1287.4174998761694</v>
      </c>
      <c r="J146" s="70">
        <f>Model!N625</f>
        <v>1352.1468605040973</v>
      </c>
      <c r="K146" s="70">
        <f>Model!O625</f>
        <v>1419.8699592893852</v>
      </c>
      <c r="L146" s="70">
        <f>Model!P625</f>
        <v>1490.705955262079</v>
      </c>
      <c r="M146" s="70">
        <f>Model!Q625</f>
        <v>1564.7785323964279</v>
      </c>
      <c r="N146" s="70">
        <f>Model!R625</f>
        <v>1641.5124246916523</v>
      </c>
      <c r="O146" s="70">
        <f>Model!S625</f>
        <v>1720.962578573181</v>
      </c>
      <c r="P146" s="70">
        <f>Model!T625</f>
        <v>1803.9266399865694</v>
      </c>
    </row>
    <row r="148" spans="3:18" x14ac:dyDescent="0.2">
      <c r="C148" s="3" t="s">
        <v>603</v>
      </c>
      <c r="E148" s="52">
        <f>IFERROR(E144/D144-1,"")</f>
        <v>-7.8693926491865129E-3</v>
      </c>
      <c r="F148" s="52">
        <f t="shared" ref="F148:P148" si="146">IFERROR(F144/E144-1,"")</f>
        <v>2.6135062181961155E-2</v>
      </c>
      <c r="G148" s="52">
        <f t="shared" si="146"/>
        <v>3.9782108143469053E-2</v>
      </c>
      <c r="H148" s="52">
        <f t="shared" si="146"/>
        <v>4.932496114460716E-2</v>
      </c>
      <c r="I148" s="52">
        <f t="shared" si="146"/>
        <v>4.4333543799240926E-2</v>
      </c>
      <c r="J148" s="52">
        <f t="shared" si="146"/>
        <v>2.9140810050660049E-2</v>
      </c>
      <c r="K148" s="52">
        <f t="shared" si="146"/>
        <v>3.6050746710574622E-2</v>
      </c>
      <c r="L148" s="52">
        <f t="shared" si="146"/>
        <v>3.9166551231886615E-2</v>
      </c>
      <c r="M148" s="52">
        <f t="shared" si="146"/>
        <v>4.1634853269499228E-2</v>
      </c>
      <c r="N148" s="52">
        <f t="shared" si="146"/>
        <v>4.1464483748177239E-2</v>
      </c>
      <c r="O148" s="52">
        <f t="shared" si="146"/>
        <v>4.1233296473885961E-2</v>
      </c>
      <c r="P148" s="52">
        <f t="shared" si="146"/>
        <v>4.1498762667326217E-2</v>
      </c>
    </row>
    <row r="149" spans="3:18" x14ac:dyDescent="0.2">
      <c r="C149" s="3" t="s">
        <v>604</v>
      </c>
      <c r="E149" s="133">
        <f>Model!I562</f>
        <v>8.9525982805815474E-2</v>
      </c>
      <c r="F149" s="133">
        <f>Model!J562</f>
        <v>6.8890689772876046E-2</v>
      </c>
      <c r="G149" s="133">
        <f>Model!K562</f>
        <v>8.3106362649446819E-2</v>
      </c>
      <c r="H149" s="133">
        <f>Model!L562</f>
        <v>9.3046834525632782E-2</v>
      </c>
      <c r="I149" s="133">
        <f>Model!M562</f>
        <v>8.784744145754253E-2</v>
      </c>
      <c r="J149" s="133">
        <f>Model!N562</f>
        <v>7.202167713610419E-2</v>
      </c>
      <c r="K149" s="133">
        <f>Model!O562</f>
        <v>7.9219527823515046E-2</v>
      </c>
      <c r="L149" s="133">
        <f>Model!P562</f>
        <v>8.2465157533215372E-2</v>
      </c>
      <c r="M149" s="133">
        <f>Model!Q562</f>
        <v>8.5036305489061714E-2</v>
      </c>
      <c r="N149" s="133">
        <f>Model!R562</f>
        <v>8.4858837237684837E-2</v>
      </c>
      <c r="O149" s="133">
        <f>Model!S562</f>
        <v>8.4618017160297931E-2</v>
      </c>
      <c r="P149" s="133">
        <f>Model!T562</f>
        <v>8.4894544445131004E-2</v>
      </c>
    </row>
    <row r="152" spans="3:18" x14ac:dyDescent="0.2">
      <c r="C152" s="2"/>
    </row>
    <row r="158" spans="3:18" x14ac:dyDescent="0.2">
      <c r="C158" s="2"/>
    </row>
    <row r="161" spans="3:7" x14ac:dyDescent="0.2">
      <c r="C161" s="2" t="s">
        <v>120</v>
      </c>
      <c r="D161" s="2">
        <v>2023</v>
      </c>
      <c r="E161" s="2">
        <v>2024</v>
      </c>
      <c r="F161" s="134">
        <f>E161+1</f>
        <v>2025</v>
      </c>
      <c r="G161" s="134">
        <f t="shared" ref="G161" si="147">F161+1</f>
        <v>2026</v>
      </c>
    </row>
    <row r="162" spans="3:7" x14ac:dyDescent="0.2">
      <c r="C162" s="3" t="s">
        <v>1119</v>
      </c>
      <c r="D162" s="52">
        <f>Model!H167</f>
        <v>1.1834478677765973E-2</v>
      </c>
      <c r="E162" s="52">
        <f>Model!I167</f>
        <v>2.384368944244784E-2</v>
      </c>
      <c r="F162" s="52">
        <f>Model!J167</f>
        <v>0.10872400614093583</v>
      </c>
      <c r="G162" s="52">
        <f>Model!K167</f>
        <v>0.14723741103152396</v>
      </c>
    </row>
    <row r="163" spans="3:7" x14ac:dyDescent="0.2">
      <c r="C163" s="3" t="s">
        <v>1120</v>
      </c>
      <c r="D163" s="256">
        <f>D173/D172</f>
        <v>2.0451822285587135E-2</v>
      </c>
      <c r="E163" s="256">
        <f t="shared" ref="E163:G163" si="148">E173/E172</f>
        <v>3.8972157003285698E-2</v>
      </c>
      <c r="F163" s="256">
        <f t="shared" si="148"/>
        <v>0.12734629733814881</v>
      </c>
      <c r="G163" s="256">
        <f t="shared" si="148"/>
        <v>0.16834209903357752</v>
      </c>
    </row>
    <row r="164" spans="3:7" x14ac:dyDescent="0.2">
      <c r="C164" s="3"/>
      <c r="D164" s="2"/>
      <c r="E164" s="2"/>
    </row>
    <row r="165" spans="3:7" x14ac:dyDescent="0.2">
      <c r="C165" s="2"/>
      <c r="D165" s="2"/>
      <c r="E165" s="2"/>
    </row>
    <row r="166" spans="3:7" x14ac:dyDescent="0.2">
      <c r="C166" s="2" t="s">
        <v>1094</v>
      </c>
      <c r="D166" s="2"/>
      <c r="E166" s="2"/>
    </row>
    <row r="167" spans="3:7" x14ac:dyDescent="0.2">
      <c r="C167" s="3" t="s">
        <v>1092</v>
      </c>
      <c r="D167" s="70">
        <f>Model!H625</f>
        <v>911</v>
      </c>
      <c r="E167" s="70">
        <f>Model!I625</f>
        <v>915</v>
      </c>
      <c r="F167" s="70">
        <f>Model!J625</f>
        <v>1028.6903190336634</v>
      </c>
      <c r="G167" s="70">
        <f>Model!K625</f>
        <v>1118.0485812435825</v>
      </c>
    </row>
    <row r="168" spans="3:7" x14ac:dyDescent="0.2">
      <c r="C168" s="3" t="s">
        <v>1090</v>
      </c>
      <c r="D168" s="70">
        <f>Model!H623</f>
        <v>10.828547990155865</v>
      </c>
      <c r="E168" s="70">
        <f>Model!I623</f>
        <v>21.912350597609564</v>
      </c>
      <c r="F168" s="70">
        <f>Model!J623</f>
        <v>112.26176838019997</v>
      </c>
      <c r="G168" s="70">
        <f>Model!K623</f>
        <v>165.16257088226038</v>
      </c>
    </row>
    <row r="169" spans="3:7" x14ac:dyDescent="0.2">
      <c r="C169" s="3" t="s">
        <v>1088</v>
      </c>
      <c r="D169" s="70">
        <f>Model!H256</f>
        <v>2.8967203412722049</v>
      </c>
      <c r="E169" s="70">
        <f>Model!I256</f>
        <v>5.2016932270916341</v>
      </c>
      <c r="F169" s="70">
        <f>Model!J256</f>
        <v>7.808214415067007</v>
      </c>
      <c r="G169" s="70">
        <f>Model!K256</f>
        <v>10.079351608837378</v>
      </c>
    </row>
    <row r="170" spans="3:7" x14ac:dyDescent="0.2">
      <c r="C170" s="3"/>
      <c r="D170" s="70"/>
      <c r="E170" s="70"/>
      <c r="F170" s="70"/>
      <c r="G170" s="70"/>
    </row>
    <row r="171" spans="3:7" x14ac:dyDescent="0.2">
      <c r="C171" s="2" t="s">
        <v>1095</v>
      </c>
      <c r="D171" s="70"/>
      <c r="E171" s="70"/>
      <c r="F171" s="70"/>
      <c r="G171" s="70"/>
    </row>
    <row r="172" spans="3:7" x14ac:dyDescent="0.2">
      <c r="C172" s="3" t="s">
        <v>1093</v>
      </c>
      <c r="D172" s="71">
        <f t="shared" ref="D172:G173" si="149">D167-D168+D173</f>
        <v>918.96598093849866</v>
      </c>
      <c r="E172" s="71">
        <f t="shared" si="149"/>
        <v>929.30465637450197</v>
      </c>
      <c r="F172" s="71">
        <f t="shared" si="149"/>
        <v>1050.1629086750977</v>
      </c>
      <c r="G172" s="71">
        <f t="shared" si="149"/>
        <v>1145.7667981678853</v>
      </c>
    </row>
    <row r="173" spans="3:7" x14ac:dyDescent="0.2">
      <c r="C173" s="3" t="s">
        <v>1091</v>
      </c>
      <c r="D173" s="71">
        <f t="shared" si="149"/>
        <v>18.794528928654429</v>
      </c>
      <c r="E173" s="71">
        <f t="shared" si="149"/>
        <v>36.217006972111555</v>
      </c>
      <c r="F173" s="71">
        <f t="shared" si="149"/>
        <v>133.73435802163422</v>
      </c>
      <c r="G173" s="71">
        <f t="shared" si="149"/>
        <v>192.88078780656318</v>
      </c>
    </row>
    <row r="174" spans="3:7" x14ac:dyDescent="0.2">
      <c r="C174" s="3" t="s">
        <v>1089</v>
      </c>
      <c r="D174" s="70">
        <f>Model!H273</f>
        <v>10.86270127977077</v>
      </c>
      <c r="E174" s="70">
        <f>Model!I273</f>
        <v>19.506349601593627</v>
      </c>
      <c r="F174" s="70">
        <f>Model!J273</f>
        <v>29.280804056501275</v>
      </c>
      <c r="G174" s="70">
        <f>Model!K273</f>
        <v>37.797568533140172</v>
      </c>
    </row>
    <row r="175" spans="3:7" x14ac:dyDescent="0.2">
      <c r="F175" s="1">
        <f>F173/F172</f>
        <v>0.12734629733814881</v>
      </c>
      <c r="G175" s="1">
        <f>G173/G172</f>
        <v>0.16834209903357752</v>
      </c>
    </row>
    <row r="177" spans="2:25" x14ac:dyDescent="0.2">
      <c r="C177" s="2" t="s">
        <v>122</v>
      </c>
      <c r="D177" s="2">
        <v>2024</v>
      </c>
    </row>
    <row r="178" spans="2:25" x14ac:dyDescent="0.2">
      <c r="C178" s="135" t="s">
        <v>118</v>
      </c>
      <c r="D178" s="40">
        <v>0.15</v>
      </c>
    </row>
    <row r="179" spans="2:25" x14ac:dyDescent="0.2">
      <c r="C179" s="135" t="s">
        <v>136</v>
      </c>
      <c r="D179" s="40">
        <v>0.187</v>
      </c>
      <c r="F179" s="1" t="s">
        <v>334</v>
      </c>
    </row>
    <row r="180" spans="2:25" x14ac:dyDescent="0.2">
      <c r="C180" s="135" t="s">
        <v>133</v>
      </c>
    </row>
    <row r="182" spans="2:25" x14ac:dyDescent="0.2">
      <c r="B182" s="37" t="s">
        <v>838</v>
      </c>
      <c r="Y182" s="10" t="s">
        <v>822</v>
      </c>
    </row>
    <row r="183" spans="2:25" x14ac:dyDescent="0.2">
      <c r="C183" s="142" t="s">
        <v>445</v>
      </c>
      <c r="D183" s="142">
        <v>2016</v>
      </c>
      <c r="E183" s="142">
        <f>D183+1</f>
        <v>2017</v>
      </c>
      <c r="F183" s="142">
        <v>2018</v>
      </c>
      <c r="G183" s="142">
        <f>F183+1</f>
        <v>2019</v>
      </c>
      <c r="H183" s="142">
        <v>2020</v>
      </c>
      <c r="I183" s="142">
        <f>H183+1</f>
        <v>2021</v>
      </c>
      <c r="J183" s="142">
        <f>I183+1</f>
        <v>2022</v>
      </c>
      <c r="K183" s="142">
        <v>2023</v>
      </c>
      <c r="L183" s="142">
        <f>K183+1</f>
        <v>2024</v>
      </c>
      <c r="M183" s="300">
        <f>L183+1</f>
        <v>2025</v>
      </c>
      <c r="N183" s="300">
        <f t="shared" ref="N183:W183" si="150">M183+1</f>
        <v>2026</v>
      </c>
      <c r="O183" s="300">
        <f t="shared" si="150"/>
        <v>2027</v>
      </c>
      <c r="P183" s="300">
        <f t="shared" si="150"/>
        <v>2028</v>
      </c>
      <c r="Q183" s="300">
        <f t="shared" si="150"/>
        <v>2029</v>
      </c>
      <c r="R183" s="300">
        <f t="shared" si="150"/>
        <v>2030</v>
      </c>
      <c r="S183" s="300">
        <f t="shared" si="150"/>
        <v>2031</v>
      </c>
      <c r="T183" s="300">
        <f t="shared" si="150"/>
        <v>2032</v>
      </c>
      <c r="U183" s="300">
        <f t="shared" si="150"/>
        <v>2033</v>
      </c>
      <c r="V183" s="300">
        <f t="shared" si="150"/>
        <v>2034</v>
      </c>
      <c r="W183" s="300">
        <f t="shared" si="150"/>
        <v>2035</v>
      </c>
      <c r="Y183" s="437" t="s">
        <v>825</v>
      </c>
    </row>
    <row r="184" spans="2:25" x14ac:dyDescent="0.2">
      <c r="C184" s="3" t="s">
        <v>489</v>
      </c>
      <c r="H184" s="70"/>
      <c r="I184" s="70"/>
      <c r="J184" s="70"/>
      <c r="K184" s="70">
        <f>Model!H624</f>
        <v>900.17145200984419</v>
      </c>
      <c r="L184" s="70">
        <f>Model!I624</f>
        <v>893.08764940239041</v>
      </c>
      <c r="M184" s="70">
        <f>Model!J624</f>
        <v>916.42855065346339</v>
      </c>
      <c r="N184" s="70">
        <f>Model!K624</f>
        <v>952.88601036132206</v>
      </c>
      <c r="O184" s="70">
        <f>Model!L624</f>
        <v>999.88707579763411</v>
      </c>
      <c r="P184" s="70">
        <f>Model!M624</f>
        <v>1044.2156132668035</v>
      </c>
      <c r="Q184" s="70">
        <f>Model!N624</f>
        <v>1074.644902104945</v>
      </c>
      <c r="R184" s="70">
        <f>Model!O624</f>
        <v>1113.3866532745405</v>
      </c>
      <c r="S184" s="70">
        <f>Model!P624</f>
        <v>1156.9941686709167</v>
      </c>
      <c r="T184" s="70">
        <f>Model!Q624</f>
        <v>1205.1654511171964</v>
      </c>
      <c r="U184" s="70">
        <f>Model!R624</f>
        <v>1255.1370143789102</v>
      </c>
      <c r="V184" s="70">
        <f>Model!S624</f>
        <v>1306.8904510081438</v>
      </c>
      <c r="W184" s="70">
        <f>Model!T624</f>
        <v>1361.1247876667258</v>
      </c>
      <c r="Y184" s="311">
        <f>IFERROR((W184/L184)^(1/11)-1,"")</f>
        <v>3.9050640742757325E-2</v>
      </c>
    </row>
    <row r="185" spans="2:25" x14ac:dyDescent="0.2">
      <c r="C185" s="3" t="s">
        <v>120</v>
      </c>
      <c r="H185" s="70"/>
      <c r="I185" s="70"/>
      <c r="J185" s="70"/>
      <c r="K185" s="70">
        <f>Model!H623</f>
        <v>10.828547990155865</v>
      </c>
      <c r="L185" s="70">
        <f>Model!I623</f>
        <v>21.912350597609564</v>
      </c>
      <c r="M185" s="70">
        <f>Model!J623</f>
        <v>112.26176838019997</v>
      </c>
      <c r="N185" s="70">
        <f>Model!K623</f>
        <v>165.16257088226038</v>
      </c>
      <c r="O185" s="70">
        <f>Model!L623</f>
        <v>205.01834164814557</v>
      </c>
      <c r="P185" s="70">
        <f>Model!M623</f>
        <v>243.20188660936589</v>
      </c>
      <c r="Q185" s="70">
        <f>Model!N623</f>
        <v>277.50195839915222</v>
      </c>
      <c r="R185" s="70">
        <f>Model!O623</f>
        <v>306.48330601484474</v>
      </c>
      <c r="S185" s="70">
        <f>Model!P623</f>
        <v>333.71178659116242</v>
      </c>
      <c r="T185" s="70">
        <f>Model!Q623</f>
        <v>359.61308127923144</v>
      </c>
      <c r="U185" s="70">
        <f>Model!R623</f>
        <v>386.37541031274208</v>
      </c>
      <c r="V185" s="70">
        <f>Model!S623</f>
        <v>414.07212756503702</v>
      </c>
      <c r="W185" s="70">
        <f>Model!T623</f>
        <v>442.8018523198437</v>
      </c>
      <c r="Y185" s="311">
        <f>IFERROR((W185/L185)^(1/11)-1,"")</f>
        <v>0.3142672268291069</v>
      </c>
    </row>
    <row r="186" spans="2:25" s="2" customFormat="1" x14ac:dyDescent="0.2">
      <c r="C186" s="2" t="s">
        <v>123</v>
      </c>
      <c r="H186" s="96">
        <f>Model!E604</f>
        <v>933.16774615356076</v>
      </c>
      <c r="I186" s="96">
        <f>Model!F604</f>
        <v>1053.4214703909859</v>
      </c>
      <c r="J186" s="96">
        <f>Model!G604</f>
        <v>961.40482695145329</v>
      </c>
      <c r="K186" s="96">
        <f>Model!H604</f>
        <v>915</v>
      </c>
      <c r="L186" s="96">
        <f>Model!I604</f>
        <v>919</v>
      </c>
      <c r="M186" s="96">
        <f>Model!J604</f>
        <v>1032.5389246113527</v>
      </c>
      <c r="N186" s="96">
        <f>Model!K604</f>
        <v>1121.7432425981642</v>
      </c>
      <c r="O186" s="96">
        <f>Model!L604</f>
        <v>1208.4522923461782</v>
      </c>
      <c r="P186" s="96">
        <f>Model!M604</f>
        <v>1290.8224997805519</v>
      </c>
      <c r="Q186" s="96">
        <f>Model!N604</f>
        <v>1355.4156604123045</v>
      </c>
      <c r="R186" s="96">
        <f>Model!O604</f>
        <v>1423.008007201264</v>
      </c>
      <c r="S186" s="96">
        <f>Model!P604</f>
        <v>1493.7184812574826</v>
      </c>
      <c r="T186" s="96">
        <f>Model!Q604</f>
        <v>1567.6705573520155</v>
      </c>
      <c r="U186" s="96">
        <f>Model!R604</f>
        <v>1644.2887686490164</v>
      </c>
      <c r="V186" s="96">
        <f>Model!S604</f>
        <v>1723.6278687722504</v>
      </c>
      <c r="W186" s="96">
        <f>Model!T604</f>
        <v>1806.485318577676</v>
      </c>
      <c r="Y186" s="453">
        <f>IFERROR((W186/L186)^(1/11)-1,"")</f>
        <v>6.3367881767186551E-2</v>
      </c>
    </row>
    <row r="187" spans="2:25" x14ac:dyDescent="0.2">
      <c r="C187" s="1" t="s">
        <v>606</v>
      </c>
      <c r="H187" s="70"/>
      <c r="I187" s="70"/>
      <c r="J187" s="70"/>
      <c r="K187" s="70"/>
      <c r="L187" s="165">
        <f>L186/K186-1</f>
        <v>4.3715846994536456E-3</v>
      </c>
      <c r="M187" s="165">
        <f t="shared" ref="M187:W187" si="151">M186/L186-1</f>
        <v>0.12354616388612927</v>
      </c>
      <c r="N187" s="165">
        <f t="shared" si="151"/>
        <v>8.6393176916200076E-2</v>
      </c>
      <c r="O187" s="165">
        <f t="shared" si="151"/>
        <v>7.729848191211719E-2</v>
      </c>
      <c r="P187" s="165">
        <f t="shared" si="151"/>
        <v>6.8161737088068275E-2</v>
      </c>
      <c r="Q187" s="165">
        <f t="shared" si="151"/>
        <v>5.0040312004736354E-2</v>
      </c>
      <c r="R187" s="165">
        <f t="shared" si="151"/>
        <v>4.9868353128219356E-2</v>
      </c>
      <c r="S187" s="165">
        <f t="shared" si="151"/>
        <v>4.969084762586129E-2</v>
      </c>
      <c r="T187" s="165">
        <f t="shared" si="151"/>
        <v>4.9508710658970001E-2</v>
      </c>
      <c r="U187" s="165">
        <f t="shared" si="151"/>
        <v>4.8873923757564386E-2</v>
      </c>
      <c r="V187" s="165">
        <f t="shared" si="151"/>
        <v>4.825131791687709E-2</v>
      </c>
      <c r="W187" s="165">
        <f t="shared" si="151"/>
        <v>4.8071542185289307E-2</v>
      </c>
    </row>
    <row r="188" spans="2:25" x14ac:dyDescent="0.2">
      <c r="C188" s="1" t="s">
        <v>607</v>
      </c>
      <c r="H188" s="70"/>
      <c r="I188" s="70"/>
      <c r="J188" s="70"/>
      <c r="K188" s="70"/>
      <c r="L188" s="133">
        <f>Model!I547</f>
        <v>0.1029686311602418</v>
      </c>
      <c r="M188" s="133">
        <f>Model!J547</f>
        <v>0.17036058738138449</v>
      </c>
      <c r="N188" s="133">
        <f>Model!K547</f>
        <v>0.13165955928770834</v>
      </c>
      <c r="O188" s="133">
        <f>Model!L547</f>
        <v>0.12218591865845574</v>
      </c>
      <c r="P188" s="133">
        <f>Model!M547</f>
        <v>0.11266847613340447</v>
      </c>
      <c r="Q188" s="133">
        <f>Model!N547</f>
        <v>9.379199167160035E-2</v>
      </c>
      <c r="R188" s="133">
        <f>Model!O547</f>
        <v>9.3612867841895264E-2</v>
      </c>
      <c r="S188" s="133">
        <f>Model!P547</f>
        <v>9.3427966276939056E-2</v>
      </c>
      <c r="T188" s="133">
        <f>Model!Q547</f>
        <v>9.3238240269760242E-2</v>
      </c>
      <c r="U188" s="133">
        <f>Model!R547</f>
        <v>9.2577003914129596E-2</v>
      </c>
      <c r="V188" s="133">
        <f>Model!S547</f>
        <v>9.1928456163413719E-2</v>
      </c>
      <c r="W188" s="133">
        <f>Model!T547</f>
        <v>9.1741189776342935E-2</v>
      </c>
    </row>
    <row r="189" spans="2:25" x14ac:dyDescent="0.2">
      <c r="H189" s="70"/>
      <c r="I189" s="70"/>
      <c r="J189" s="70"/>
      <c r="K189" s="70"/>
      <c r="L189" s="70"/>
      <c r="M189" s="70"/>
      <c r="N189" s="70"/>
      <c r="O189" s="70"/>
      <c r="P189" s="70"/>
      <c r="Q189" s="70"/>
      <c r="R189" s="70"/>
      <c r="S189" s="70"/>
      <c r="T189" s="70"/>
      <c r="U189" s="70"/>
      <c r="V189" s="70"/>
      <c r="W189" s="70"/>
    </row>
    <row r="190" spans="2:25" x14ac:dyDescent="0.2">
      <c r="C190" s="1" t="s">
        <v>142</v>
      </c>
      <c r="H190" s="70"/>
      <c r="I190" s="70"/>
      <c r="J190" s="70"/>
      <c r="K190" s="70"/>
      <c r="L190" s="70"/>
      <c r="M190" s="70"/>
      <c r="N190" s="70"/>
      <c r="O190" s="70"/>
      <c r="P190" s="70"/>
      <c r="Q190" s="70"/>
      <c r="R190" s="70"/>
      <c r="S190" s="70"/>
      <c r="T190" s="70"/>
      <c r="U190" s="70"/>
      <c r="V190" s="70"/>
      <c r="W190" s="70"/>
    </row>
    <row r="191" spans="2:25" x14ac:dyDescent="0.2">
      <c r="C191" s="1" t="s">
        <v>490</v>
      </c>
      <c r="H191" s="70"/>
      <c r="I191" s="70"/>
      <c r="J191" s="70"/>
      <c r="K191" s="70"/>
      <c r="L191" s="165">
        <f>L184/K184-1</f>
        <v>-7.8693926491865129E-3</v>
      </c>
      <c r="M191" s="165">
        <f t="shared" ref="M191:W191" si="152">M184/L184-1</f>
        <v>2.6135062181961155E-2</v>
      </c>
      <c r="N191" s="165">
        <f t="shared" si="152"/>
        <v>3.9782108143469053E-2</v>
      </c>
      <c r="O191" s="165">
        <f t="shared" si="152"/>
        <v>4.932496114460716E-2</v>
      </c>
      <c r="P191" s="165">
        <f t="shared" si="152"/>
        <v>4.4333543799240926E-2</v>
      </c>
      <c r="Q191" s="165">
        <f t="shared" si="152"/>
        <v>2.9140810050660049E-2</v>
      </c>
      <c r="R191" s="165">
        <f t="shared" si="152"/>
        <v>3.6050746710574622E-2</v>
      </c>
      <c r="S191" s="165">
        <f t="shared" si="152"/>
        <v>3.9166551231886615E-2</v>
      </c>
      <c r="T191" s="165">
        <f t="shared" si="152"/>
        <v>4.1634853269499228E-2</v>
      </c>
      <c r="U191" s="165">
        <f t="shared" si="152"/>
        <v>4.1464483748177239E-2</v>
      </c>
      <c r="V191" s="165">
        <f t="shared" si="152"/>
        <v>4.1233296473885961E-2</v>
      </c>
      <c r="W191" s="165">
        <f t="shared" si="152"/>
        <v>4.1498762667326217E-2</v>
      </c>
    </row>
    <row r="192" spans="2:25" x14ac:dyDescent="0.2">
      <c r="C192" s="1" t="s">
        <v>491</v>
      </c>
      <c r="H192" s="70"/>
      <c r="I192" s="70"/>
      <c r="J192" s="70"/>
      <c r="K192" s="70"/>
      <c r="L192" s="165">
        <f>L185/K185-1</f>
        <v>1.0235723771580347</v>
      </c>
      <c r="M192" s="165">
        <f t="shared" ref="M192:W192" si="153">M185/L185-1</f>
        <v>4.1232188842600346</v>
      </c>
      <c r="N192" s="165">
        <f t="shared" si="153"/>
        <v>0.47122723314761839</v>
      </c>
      <c r="O192" s="165">
        <f t="shared" si="153"/>
        <v>0.24131236607050166</v>
      </c>
      <c r="P192" s="165">
        <f t="shared" si="153"/>
        <v>0.18624453136369268</v>
      </c>
      <c r="Q192" s="165">
        <f t="shared" si="153"/>
        <v>0.14103538532527726</v>
      </c>
      <c r="R192" s="165">
        <f t="shared" si="153"/>
        <v>0.10443655166572352</v>
      </c>
      <c r="S192" s="165">
        <f t="shared" si="153"/>
        <v>8.8841643384644398E-2</v>
      </c>
      <c r="T192" s="165">
        <f t="shared" si="153"/>
        <v>7.7615762249959808E-2</v>
      </c>
      <c r="U192" s="165">
        <f t="shared" si="153"/>
        <v>7.4419787340078036E-2</v>
      </c>
      <c r="V192" s="165">
        <f t="shared" si="153"/>
        <v>7.1683436660413991E-2</v>
      </c>
      <c r="W192" s="165">
        <f t="shared" si="153"/>
        <v>6.9383382368073621E-2</v>
      </c>
    </row>
    <row r="193" spans="3:23" x14ac:dyDescent="0.2">
      <c r="H193" s="70"/>
      <c r="I193" s="70"/>
      <c r="J193" s="70"/>
      <c r="K193" s="70"/>
      <c r="L193" s="70"/>
      <c r="M193" s="70"/>
      <c r="N193" s="70"/>
      <c r="O193" s="70"/>
      <c r="P193" s="70"/>
      <c r="Q193" s="70"/>
      <c r="R193" s="70"/>
      <c r="S193" s="70"/>
      <c r="T193" s="70"/>
      <c r="U193" s="70"/>
      <c r="V193" s="70"/>
      <c r="W193" s="70"/>
    </row>
    <row r="194" spans="3:23" s="2" customFormat="1" x14ac:dyDescent="0.2">
      <c r="C194" s="2" t="s">
        <v>124</v>
      </c>
      <c r="H194" s="96"/>
      <c r="I194" s="96"/>
      <c r="J194" s="96"/>
      <c r="K194" s="96">
        <f>Model!H639</f>
        <v>538</v>
      </c>
      <c r="L194" s="96">
        <f>Model!I639</f>
        <v>515</v>
      </c>
      <c r="M194" s="96">
        <f>Model!J639</f>
        <v>547.65010666301589</v>
      </c>
      <c r="N194" s="96">
        <f>Model!K639</f>
        <v>578.13719057715707</v>
      </c>
      <c r="O194" s="96">
        <f>Model!L639</f>
        <v>604.69953336051503</v>
      </c>
      <c r="P194" s="96">
        <f>Model!M639</f>
        <v>633.00867897290664</v>
      </c>
      <c r="Q194" s="96">
        <f>Model!N639</f>
        <v>656.55213680794304</v>
      </c>
      <c r="R194" s="96">
        <f>Model!O639</f>
        <v>683.6012785845636</v>
      </c>
      <c r="S194" s="96">
        <f>Model!P639</f>
        <v>717.57000555555305</v>
      </c>
      <c r="T194" s="96">
        <f>Model!Q639</f>
        <v>753.09597133815851</v>
      </c>
      <c r="U194" s="96">
        <f>Model!R639</f>
        <v>789.90272642346849</v>
      </c>
      <c r="V194" s="96">
        <f>Model!S639</f>
        <v>828.01657399953524</v>
      </c>
      <c r="W194" s="96">
        <f>Model!T639</f>
        <v>867.82060766667269</v>
      </c>
    </row>
    <row r="195" spans="3:23" x14ac:dyDescent="0.2">
      <c r="C195" s="1" t="s">
        <v>606</v>
      </c>
      <c r="L195" s="165">
        <f>L194/K194-1</f>
        <v>-4.2750929368029711E-2</v>
      </c>
      <c r="M195" s="165">
        <f t="shared" ref="M195" si="154">M194/L194-1</f>
        <v>6.3398265365079309E-2</v>
      </c>
      <c r="N195" s="165">
        <f t="shared" ref="N195" si="155">N194/M194-1</f>
        <v>5.5668908931484351E-2</v>
      </c>
      <c r="O195" s="165">
        <f t="shared" ref="O195" si="156">O194/N194-1</f>
        <v>4.5944705195043234E-2</v>
      </c>
      <c r="P195" s="165">
        <f t="shared" ref="P195" si="157">P194/O194-1</f>
        <v>4.6815226489539841E-2</v>
      </c>
      <c r="Q195" s="165">
        <f t="shared" ref="Q195" si="158">Q194/P194-1</f>
        <v>3.7192946348282296E-2</v>
      </c>
      <c r="R195" s="165">
        <f t="shared" ref="R195" si="159">R194/Q194-1</f>
        <v>4.1198771978915971E-2</v>
      </c>
      <c r="S195" s="165">
        <f t="shared" ref="S195" si="160">S194/R194-1</f>
        <v>4.969084762586129E-2</v>
      </c>
      <c r="T195" s="165">
        <f t="shared" ref="T195" si="161">T194/S194-1</f>
        <v>4.9508710658970223E-2</v>
      </c>
      <c r="U195" s="165">
        <f t="shared" ref="U195" si="162">U194/T194-1</f>
        <v>4.8873923757564386E-2</v>
      </c>
      <c r="V195" s="165">
        <f t="shared" ref="V195" si="163">V194/U194-1</f>
        <v>4.825131791687709E-2</v>
      </c>
      <c r="W195" s="165">
        <f t="shared" ref="W195" si="164">W194/V194-1</f>
        <v>4.8071542185289307E-2</v>
      </c>
    </row>
    <row r="196" spans="3:23" x14ac:dyDescent="0.2">
      <c r="C196" s="1" t="s">
        <v>607</v>
      </c>
      <c r="L196" s="133">
        <f>Model!I573</f>
        <v>5.1220198976754672E-2</v>
      </c>
      <c r="M196" s="133">
        <f>Model!J573</f>
        <v>0.10770652642195744</v>
      </c>
      <c r="N196" s="133">
        <f>Model!K573</f>
        <v>9.9655113470296319E-2</v>
      </c>
      <c r="O196" s="133">
        <f>Model!L573</f>
        <v>8.9525734578170368E-2</v>
      </c>
      <c r="P196" s="133">
        <f>Model!M573</f>
        <v>9.0432527593270695E-2</v>
      </c>
      <c r="Q196" s="133">
        <f>Model!N573</f>
        <v>8.0409319112794142E-2</v>
      </c>
      <c r="R196" s="133">
        <f>Model!O573</f>
        <v>8.4582054144704211E-2</v>
      </c>
      <c r="S196" s="133">
        <f>Model!P573</f>
        <v>9.3427966276939056E-2</v>
      </c>
      <c r="T196" s="133">
        <f>Model!Q573</f>
        <v>9.3238240269760464E-2</v>
      </c>
      <c r="U196" s="133">
        <f>Model!R573</f>
        <v>9.2577003914129596E-2</v>
      </c>
      <c r="V196" s="133">
        <f>Model!S573</f>
        <v>9.1928456163413719E-2</v>
      </c>
      <c r="W196" s="133">
        <f>Model!T573</f>
        <v>9.1741189776342935E-2</v>
      </c>
    </row>
    <row r="198" spans="3:23" x14ac:dyDescent="0.2">
      <c r="C198" s="2" t="s">
        <v>122</v>
      </c>
    </row>
    <row r="199" spans="3:23" x14ac:dyDescent="0.2">
      <c r="C199" s="1" t="s">
        <v>233</v>
      </c>
      <c r="D199" s="50"/>
      <c r="E199" s="50"/>
      <c r="F199" s="50">
        <v>288.71759389156722</v>
      </c>
      <c r="G199" s="50">
        <v>434.63797772465801</v>
      </c>
      <c r="H199" s="301">
        <f>Model!E650</f>
        <v>470.24129206194357</v>
      </c>
      <c r="I199" s="301">
        <f>Model!F650</f>
        <v>534.40653678930016</v>
      </c>
      <c r="J199" s="301">
        <f>Model!G650</f>
        <v>382.91975562306743</v>
      </c>
      <c r="K199" s="301">
        <f>Model!H650</f>
        <v>363</v>
      </c>
      <c r="L199" s="301">
        <f>Model!I650</f>
        <v>348</v>
      </c>
      <c r="M199" s="301">
        <f>Model!J650</f>
        <v>352.16453953247225</v>
      </c>
      <c r="N199" s="301">
        <f>Model!K650</f>
        <v>355.09461072163157</v>
      </c>
      <c r="O199" s="301">
        <f>Model!L650</f>
        <v>353.52728266222954</v>
      </c>
      <c r="P199" s="301">
        <f>Model!M650</f>
        <v>358.234746317614</v>
      </c>
      <c r="Q199" s="301">
        <f>Model!N650</f>
        <v>362.57817292306453</v>
      </c>
      <c r="R199" s="301">
        <f>Model!O650</f>
        <v>370.66827197059314</v>
      </c>
      <c r="S199" s="301">
        <f>Model!P650</f>
        <v>386.0681425821823</v>
      </c>
      <c r="T199" s="301">
        <f>Model!Q650</f>
        <v>403.58113477206803</v>
      </c>
      <c r="U199" s="301">
        <f>Model!R650</f>
        <v>423.27103874643996</v>
      </c>
      <c r="V199" s="301">
        <f>Model!S650</f>
        <v>428.18177338305094</v>
      </c>
      <c r="W199" s="301">
        <f>Model!T650</f>
        <v>448.0791244822023</v>
      </c>
    </row>
    <row r="200" spans="3:23" x14ac:dyDescent="0.2">
      <c r="C200" s="1" t="s">
        <v>234</v>
      </c>
      <c r="D200" s="145"/>
      <c r="E200" s="145"/>
      <c r="F200" s="145">
        <f>-0.18*F199</f>
        <v>-51.969166900482101</v>
      </c>
      <c r="G200" s="145">
        <f>-0.18*G199</f>
        <v>-78.234835990438441</v>
      </c>
      <c r="H200" s="145">
        <f>-0.18*H199</f>
        <v>-84.643432571149845</v>
      </c>
      <c r="I200" s="145">
        <f t="shared" ref="I200:J200" si="165">-0.18*I199</f>
        <v>-96.19317662207402</v>
      </c>
      <c r="J200" s="145">
        <f t="shared" si="165"/>
        <v>-68.925556012152128</v>
      </c>
      <c r="K200" s="145">
        <f>-0.18*K199</f>
        <v>-65.34</v>
      </c>
      <c r="L200" s="145">
        <f t="shared" ref="L200:W200" si="166">-0.18*L199</f>
        <v>-62.64</v>
      </c>
      <c r="M200" s="145">
        <f t="shared" si="166"/>
        <v>-63.389617115844999</v>
      </c>
      <c r="N200" s="145">
        <f t="shared" si="166"/>
        <v>-63.91702992989368</v>
      </c>
      <c r="O200" s="145">
        <f t="shared" si="166"/>
        <v>-63.634910879201314</v>
      </c>
      <c r="P200" s="145">
        <f t="shared" si="166"/>
        <v>-64.482254337170517</v>
      </c>
      <c r="Q200" s="145">
        <f t="shared" si="166"/>
        <v>-65.264071126151606</v>
      </c>
      <c r="R200" s="145">
        <f t="shared" si="166"/>
        <v>-66.72028895470676</v>
      </c>
      <c r="S200" s="145">
        <f t="shared" si="166"/>
        <v>-69.492265664792811</v>
      </c>
      <c r="T200" s="145">
        <f t="shared" si="166"/>
        <v>-72.644604258972237</v>
      </c>
      <c r="U200" s="145">
        <f t="shared" si="166"/>
        <v>-76.188786974359189</v>
      </c>
      <c r="V200" s="145">
        <f t="shared" si="166"/>
        <v>-77.072719208949167</v>
      </c>
      <c r="W200" s="145">
        <f t="shared" si="166"/>
        <v>-80.654242406796413</v>
      </c>
    </row>
    <row r="201" spans="3:23" x14ac:dyDescent="0.2">
      <c r="C201" s="1" t="s">
        <v>235</v>
      </c>
      <c r="D201" s="145"/>
      <c r="E201" s="145"/>
      <c r="F201" s="145">
        <f>F199+F200</f>
        <v>236.74842699108513</v>
      </c>
      <c r="G201" s="145">
        <f>G199+G200</f>
        <v>356.40314173421956</v>
      </c>
      <c r="H201" s="145">
        <f>H199+H200</f>
        <v>385.59785949079372</v>
      </c>
      <c r="I201" s="145">
        <f t="shared" ref="I201:J201" si="167">I199+I200</f>
        <v>438.21336016722614</v>
      </c>
      <c r="J201" s="145">
        <f t="shared" si="167"/>
        <v>313.9941996109153</v>
      </c>
      <c r="K201" s="145">
        <f>K199+K200</f>
        <v>297.65999999999997</v>
      </c>
      <c r="L201" s="145">
        <f t="shared" ref="L201:W201" si="168">L199+L200</f>
        <v>285.36</v>
      </c>
      <c r="M201" s="145">
        <f t="shared" si="168"/>
        <v>288.77492241662725</v>
      </c>
      <c r="N201" s="145">
        <f t="shared" si="168"/>
        <v>291.17758079173791</v>
      </c>
      <c r="O201" s="145">
        <f t="shared" si="168"/>
        <v>289.89237178302824</v>
      </c>
      <c r="P201" s="145">
        <f t="shared" si="168"/>
        <v>293.75249198044349</v>
      </c>
      <c r="Q201" s="145">
        <f t="shared" si="168"/>
        <v>297.31410179691295</v>
      </c>
      <c r="R201" s="145">
        <f t="shared" si="168"/>
        <v>303.94798301588639</v>
      </c>
      <c r="S201" s="145">
        <f t="shared" si="168"/>
        <v>316.57587691738951</v>
      </c>
      <c r="T201" s="145">
        <f t="shared" si="168"/>
        <v>330.93653051309582</v>
      </c>
      <c r="U201" s="145">
        <f t="shared" si="168"/>
        <v>347.08225177208078</v>
      </c>
      <c r="V201" s="145">
        <f t="shared" si="168"/>
        <v>351.10905417410174</v>
      </c>
      <c r="W201" s="145">
        <f t="shared" si="168"/>
        <v>367.42488207540589</v>
      </c>
    </row>
    <row r="203" spans="3:23" x14ac:dyDescent="0.2">
      <c r="C203" s="2" t="s">
        <v>1011</v>
      </c>
      <c r="D203" s="50">
        <v>104.61229759318715</v>
      </c>
      <c r="E203" s="50">
        <v>98.423071912706718</v>
      </c>
      <c r="F203" s="50">
        <v>113.98479891286759</v>
      </c>
      <c r="G203" s="50">
        <v>154.37804868666765</v>
      </c>
      <c r="H203" s="70">
        <f>Model!E396</f>
        <v>179.93521901743279</v>
      </c>
      <c r="I203" s="70">
        <f>Model!F396</f>
        <v>203.41536989703172</v>
      </c>
      <c r="J203" s="70">
        <f>Model!G396</f>
        <v>184.28315036648374</v>
      </c>
      <c r="K203" s="70">
        <f>Model!H396</f>
        <v>155</v>
      </c>
      <c r="L203" s="70">
        <f>Model!I396</f>
        <v>221</v>
      </c>
      <c r="M203" s="70">
        <f>Model!J396</f>
        <v>238.39886056849463</v>
      </c>
      <c r="N203" s="70">
        <f>Model!K396</f>
        <v>255.16108948720267</v>
      </c>
      <c r="O203" s="70">
        <f>Model!L396</f>
        <v>270.75450094338424</v>
      </c>
      <c r="P203" s="70">
        <f>Model!M396</f>
        <v>280.38625438271231</v>
      </c>
      <c r="Q203" s="70">
        <f>Model!N396</f>
        <v>285.15200349433542</v>
      </c>
      <c r="R203" s="70">
        <f>Model!O396</f>
        <v>289.64517412400414</v>
      </c>
      <c r="S203" s="70">
        <f>Model!P396</f>
        <v>293.8276607435605</v>
      </c>
      <c r="T203" s="70">
        <f>Model!Q396</f>
        <v>297.65896658582574</v>
      </c>
      <c r="U203" s="70">
        <f>Model!R396</f>
        <v>300.96728600841493</v>
      </c>
      <c r="V203" s="70">
        <f>Model!S396</f>
        <v>315.48935420818657</v>
      </c>
      <c r="W203" s="70">
        <f>Model!T396</f>
        <v>330.6554140080151</v>
      </c>
    </row>
    <row r="204" spans="3:23" x14ac:dyDescent="0.2">
      <c r="C204" s="2" t="s">
        <v>530</v>
      </c>
      <c r="D204" s="71"/>
      <c r="E204" s="71"/>
      <c r="F204" s="71">
        <f>G204</f>
        <v>211.34285714285707</v>
      </c>
      <c r="G204" s="71">
        <f>H204</f>
        <v>211.34285714285707</v>
      </c>
      <c r="H204" s="71">
        <f>I204</f>
        <v>211.34285714285707</v>
      </c>
      <c r="I204" s="71">
        <f>J204</f>
        <v>211.34285714285707</v>
      </c>
      <c r="J204" s="71">
        <f>K204</f>
        <v>211.34285714285707</v>
      </c>
      <c r="K204" s="324">
        <v>211.34285714285707</v>
      </c>
      <c r="L204" s="71">
        <f>K204+34</f>
        <v>245.34285714285707</v>
      </c>
      <c r="M204" s="71">
        <f>L204</f>
        <v>245.34285714285707</v>
      </c>
      <c r="N204" s="71">
        <f t="shared" ref="N204:W204" si="169">M204</f>
        <v>245.34285714285707</v>
      </c>
      <c r="O204" s="71">
        <f t="shared" si="169"/>
        <v>245.34285714285707</v>
      </c>
      <c r="P204" s="71">
        <f t="shared" si="169"/>
        <v>245.34285714285707</v>
      </c>
      <c r="Q204" s="71">
        <f t="shared" si="169"/>
        <v>245.34285714285707</v>
      </c>
      <c r="R204" s="71">
        <f t="shared" si="169"/>
        <v>245.34285714285707</v>
      </c>
      <c r="S204" s="71">
        <f t="shared" si="169"/>
        <v>245.34285714285707</v>
      </c>
      <c r="T204" s="71">
        <f t="shared" si="169"/>
        <v>245.34285714285707</v>
      </c>
      <c r="U204" s="71">
        <f t="shared" si="169"/>
        <v>245.34285714285707</v>
      </c>
      <c r="V204" s="71">
        <f t="shared" si="169"/>
        <v>245.34285714285707</v>
      </c>
      <c r="W204" s="71">
        <f t="shared" si="169"/>
        <v>245.34285714285707</v>
      </c>
    </row>
    <row r="205" spans="3:23" s="2" customFormat="1" x14ac:dyDescent="0.2">
      <c r="C205" s="2" t="s">
        <v>488</v>
      </c>
      <c r="F205" s="83">
        <f>AVERAGE(D203:F203)*5+F204</f>
        <v>739.70980450745947</v>
      </c>
      <c r="G205" s="83">
        <f>AVERAGE(E203:G203)*5+G204</f>
        <v>822.65272299659375</v>
      </c>
      <c r="H205" s="83">
        <f>AVERAGE(D203:H203)*5+H204</f>
        <v>862.67629326571898</v>
      </c>
      <c r="I205" s="83">
        <f t="shared" ref="I205:W205" si="170">AVERAGE(E203:I203)*5+I204</f>
        <v>961.47936556956358</v>
      </c>
      <c r="J205" s="83">
        <f t="shared" si="170"/>
        <v>1047.3394440233405</v>
      </c>
      <c r="K205" s="83">
        <f t="shared" si="170"/>
        <v>1088.354645110473</v>
      </c>
      <c r="L205" s="83">
        <f t="shared" si="170"/>
        <v>1188.9765964238054</v>
      </c>
      <c r="M205" s="83">
        <f t="shared" si="170"/>
        <v>1247.4402379748672</v>
      </c>
      <c r="N205" s="83">
        <f t="shared" si="170"/>
        <v>1299.1859575650381</v>
      </c>
      <c r="O205" s="83">
        <f t="shared" si="170"/>
        <v>1385.6573081419388</v>
      </c>
      <c r="P205" s="83">
        <f t="shared" si="170"/>
        <v>1511.043562524651</v>
      </c>
      <c r="Q205" s="83">
        <f t="shared" si="170"/>
        <v>1575.1955660189865</v>
      </c>
      <c r="R205" s="83">
        <f t="shared" si="170"/>
        <v>1626.4418795744959</v>
      </c>
      <c r="S205" s="83">
        <f t="shared" si="170"/>
        <v>1665.1084508308536</v>
      </c>
      <c r="T205" s="83">
        <f t="shared" si="170"/>
        <v>1692.0129164732953</v>
      </c>
      <c r="U205" s="83">
        <f t="shared" si="170"/>
        <v>1712.5939480989978</v>
      </c>
      <c r="V205" s="83">
        <f t="shared" si="170"/>
        <v>1742.931298812849</v>
      </c>
      <c r="W205" s="83">
        <f t="shared" si="170"/>
        <v>1783.9415386968599</v>
      </c>
    </row>
    <row r="206" spans="3:23" x14ac:dyDescent="0.2">
      <c r="C206" s="2"/>
    </row>
    <row r="207" spans="3:23" x14ac:dyDescent="0.2">
      <c r="C207" s="2" t="s">
        <v>492</v>
      </c>
      <c r="F207" s="52"/>
      <c r="G207" s="52"/>
      <c r="H207" s="52">
        <f>H203/H186</f>
        <v>0.19282194413502896</v>
      </c>
      <c r="I207" s="52">
        <f>I203/I186</f>
        <v>0.19309969999143123</v>
      </c>
      <c r="J207" s="52">
        <f>J203/J186</f>
        <v>0.19168111621701814</v>
      </c>
      <c r="K207" s="52">
        <f>K203/K186</f>
        <v>0.16939890710382513</v>
      </c>
      <c r="L207" s="52">
        <f t="shared" ref="L207:W207" si="171">L203/L186</f>
        <v>0.24047878128400435</v>
      </c>
      <c r="M207" s="52">
        <f t="shared" si="171"/>
        <v>0.23088607594936711</v>
      </c>
      <c r="N207" s="52">
        <f t="shared" si="171"/>
        <v>0.22746835443037974</v>
      </c>
      <c r="O207" s="52">
        <f t="shared" si="171"/>
        <v>0.22405063291139243</v>
      </c>
      <c r="P207" s="52">
        <f t="shared" si="171"/>
        <v>0.21721518987341773</v>
      </c>
      <c r="Q207" s="52">
        <f t="shared" si="171"/>
        <v>0.210379746835443</v>
      </c>
      <c r="R207" s="52">
        <f t="shared" si="171"/>
        <v>0.20354430379746838</v>
      </c>
      <c r="S207" s="52">
        <f t="shared" si="171"/>
        <v>0.19670886075949368</v>
      </c>
      <c r="T207" s="52">
        <f t="shared" si="171"/>
        <v>0.189873417721519</v>
      </c>
      <c r="U207" s="52">
        <f t="shared" si="171"/>
        <v>0.18303797468354432</v>
      </c>
      <c r="V207" s="52">
        <f t="shared" si="171"/>
        <v>0.1830379746835443</v>
      </c>
      <c r="W207" s="52">
        <f t="shared" si="171"/>
        <v>0.1830379746835443</v>
      </c>
    </row>
    <row r="208" spans="3:23" x14ac:dyDescent="0.2">
      <c r="C208" s="2"/>
    </row>
    <row r="209" spans="3:23" x14ac:dyDescent="0.2">
      <c r="C209" s="2" t="s">
        <v>542</v>
      </c>
      <c r="D209" s="2"/>
      <c r="E209" s="2"/>
      <c r="F209" s="326">
        <f>F201/F205</f>
        <v>0.3200558185770237</v>
      </c>
      <c r="G209" s="326">
        <f>G201/G205</f>
        <v>0.43323644567295166</v>
      </c>
      <c r="H209" s="326">
        <f>H201/H205</f>
        <v>0.446978620487051</v>
      </c>
      <c r="I209" s="326">
        <f>I201/I205</f>
        <v>0.45576990610467882</v>
      </c>
      <c r="J209" s="326">
        <f>J201/J205</f>
        <v>0.29980175138321036</v>
      </c>
      <c r="K209" s="326">
        <f t="shared" ref="K209:W209" si="172">K201/K205</f>
        <v>0.27349541010116801</v>
      </c>
      <c r="L209" s="326">
        <f t="shared" si="172"/>
        <v>0.24000472411173071</v>
      </c>
      <c r="M209" s="326">
        <f t="shared" si="172"/>
        <v>0.23149399356031142</v>
      </c>
      <c r="N209" s="326">
        <f t="shared" si="172"/>
        <v>0.2241230973104644</v>
      </c>
      <c r="O209" s="326">
        <f t="shared" si="172"/>
        <v>0.20920928290108895</v>
      </c>
      <c r="P209" s="326">
        <f t="shared" si="172"/>
        <v>0.19440372155098026</v>
      </c>
      <c r="Q209" s="326">
        <f t="shared" si="172"/>
        <v>0.18874742172384282</v>
      </c>
      <c r="R209" s="326">
        <f t="shared" si="172"/>
        <v>0.1868790928424717</v>
      </c>
      <c r="S209" s="326">
        <f t="shared" si="172"/>
        <v>0.19012327801196666</v>
      </c>
      <c r="T209" s="326">
        <f t="shared" si="172"/>
        <v>0.19558747293896259</v>
      </c>
      <c r="U209" s="326">
        <f t="shared" si="172"/>
        <v>0.20266464923419047</v>
      </c>
      <c r="V209" s="326">
        <f t="shared" si="172"/>
        <v>0.20144744340367876</v>
      </c>
      <c r="W209" s="326">
        <f t="shared" si="172"/>
        <v>0.20596240073192296</v>
      </c>
    </row>
    <row r="214" spans="3:23" x14ac:dyDescent="0.2">
      <c r="K214" s="86"/>
    </row>
    <row r="228" spans="1:19" ht="13.15" customHeight="1" x14ac:dyDescent="0.2">
      <c r="A228" s="1" t="s">
        <v>22</v>
      </c>
      <c r="B228" s="39" t="s">
        <v>349</v>
      </c>
      <c r="C228" s="6"/>
      <c r="D228" s="6"/>
    </row>
    <row r="229" spans="1:19" x14ac:dyDescent="0.2">
      <c r="C229" s="8"/>
      <c r="D229" s="8" t="s">
        <v>474</v>
      </c>
      <c r="E229" s="8" t="s">
        <v>474</v>
      </c>
      <c r="F229" s="8" t="s">
        <v>154</v>
      </c>
      <c r="G229" s="8" t="s">
        <v>154</v>
      </c>
      <c r="H229" s="8" t="s">
        <v>124</v>
      </c>
      <c r="I229" s="8" t="s">
        <v>124</v>
      </c>
      <c r="J229" s="8"/>
      <c r="K229" s="309" t="s">
        <v>417</v>
      </c>
      <c r="L229" s="309" t="s">
        <v>417</v>
      </c>
      <c r="M229" s="309" t="s">
        <v>419</v>
      </c>
      <c r="N229" s="309"/>
      <c r="O229" s="8"/>
      <c r="P229" s="30"/>
      <c r="Q229" s="30" t="s">
        <v>829</v>
      </c>
      <c r="R229" s="30"/>
      <c r="S229" s="30" t="s">
        <v>829</v>
      </c>
    </row>
    <row r="230" spans="1:19" x14ac:dyDescent="0.2">
      <c r="C230" s="8" t="s">
        <v>484</v>
      </c>
      <c r="D230" s="8">
        <v>2024</v>
      </c>
      <c r="E230" s="8" t="s">
        <v>829</v>
      </c>
      <c r="F230" s="8">
        <v>2024</v>
      </c>
      <c r="G230" s="8" t="str">
        <f>E230</f>
        <v>2025E</v>
      </c>
      <c r="H230" s="8">
        <f>D230</f>
        <v>2024</v>
      </c>
      <c r="I230" s="8" t="str">
        <f>E230</f>
        <v>2025E</v>
      </c>
      <c r="J230" s="8"/>
      <c r="K230" s="309">
        <v>2024</v>
      </c>
      <c r="L230" s="309" t="str">
        <f>E230</f>
        <v>2025E</v>
      </c>
      <c r="M230" s="309">
        <f>D230</f>
        <v>2024</v>
      </c>
      <c r="N230" s="309" t="str">
        <f>E230</f>
        <v>2025E</v>
      </c>
      <c r="O230" s="8"/>
      <c r="P230" s="309"/>
      <c r="Q230" s="309" t="s">
        <v>417</v>
      </c>
      <c r="R230" s="309"/>
      <c r="S230" s="309" t="s">
        <v>419</v>
      </c>
    </row>
    <row r="231" spans="1:19" x14ac:dyDescent="0.2">
      <c r="B231" s="1" t="s">
        <v>167</v>
      </c>
      <c r="C231" s="8">
        <f>155.2/0.97</f>
        <v>160</v>
      </c>
      <c r="D231" s="447">
        <f>Model!I344</f>
        <v>67</v>
      </c>
      <c r="E231" s="447">
        <f>Model!J344</f>
        <v>89.254695497142862</v>
      </c>
      <c r="F231" s="448">
        <v>0.27</v>
      </c>
      <c r="G231" s="448">
        <v>0.27</v>
      </c>
      <c r="H231" s="451">
        <f>D231*F231</f>
        <v>18.09</v>
      </c>
      <c r="I231" s="451">
        <f>E231*G231</f>
        <v>24.098767784228574</v>
      </c>
      <c r="J231" s="8"/>
      <c r="K231" s="312">
        <f>$C231/D231</f>
        <v>2.3880597014925371</v>
      </c>
      <c r="L231" s="312">
        <f>$C231/E231</f>
        <v>1.792622775852972</v>
      </c>
      <c r="M231" s="312">
        <f>$C231/H231</f>
        <v>8.8446655610834721</v>
      </c>
      <c r="N231" s="312">
        <f>$C231/I231</f>
        <v>6.639343614270266</v>
      </c>
      <c r="O231" s="8"/>
      <c r="P231" s="8" t="s">
        <v>167</v>
      </c>
      <c r="Q231" s="449">
        <v>1.8030466392360551</v>
      </c>
      <c r="R231" s="8" t="s">
        <v>167</v>
      </c>
      <c r="S231" s="449">
        <v>6.6124804125941008</v>
      </c>
    </row>
    <row r="232" spans="1:19" x14ac:dyDescent="0.2">
      <c r="B232" s="1" t="s">
        <v>480</v>
      </c>
      <c r="C232" s="8"/>
      <c r="D232" s="8"/>
      <c r="E232" s="8"/>
      <c r="F232" s="8"/>
      <c r="G232" s="8"/>
      <c r="H232" s="8"/>
      <c r="I232" s="8"/>
      <c r="J232" s="8"/>
      <c r="K232" s="450">
        <f>Comps!P38</f>
        <v>4.4047100823138843</v>
      </c>
      <c r="L232" s="450">
        <f>Comps!Q38</f>
        <v>3.773828987070309</v>
      </c>
      <c r="M232" s="450">
        <f>Comps!S38</f>
        <v>29.875129549660702</v>
      </c>
      <c r="N232" s="450">
        <f>Comps!T38</f>
        <v>22.208358312103531</v>
      </c>
      <c r="O232" s="8"/>
      <c r="P232" s="8" t="s">
        <v>481</v>
      </c>
      <c r="Q232" s="449">
        <v>0.68748804149160081</v>
      </c>
      <c r="R232" s="8" t="s">
        <v>481</v>
      </c>
      <c r="S232" s="449">
        <v>8.598334504616286</v>
      </c>
    </row>
    <row r="233" spans="1:19" x14ac:dyDescent="0.2">
      <c r="B233" s="1" t="s">
        <v>481</v>
      </c>
      <c r="C233" s="8"/>
      <c r="D233" s="8"/>
      <c r="E233" s="8"/>
      <c r="F233" s="8"/>
      <c r="G233" s="8"/>
      <c r="H233" s="8"/>
      <c r="I233" s="8"/>
      <c r="J233" s="8"/>
      <c r="K233" s="450">
        <f>Comps!P39</f>
        <v>0.77562564811614254</v>
      </c>
      <c r="L233" s="450">
        <f>Comps!Q39</f>
        <v>0.68748804149160081</v>
      </c>
      <c r="M233" s="450">
        <f>Comps!S39</f>
        <v>11.735800209205022</v>
      </c>
      <c r="N233" s="450">
        <f>Comps!T39</f>
        <v>8.598334504616286</v>
      </c>
      <c r="O233" s="8"/>
      <c r="P233" s="8" t="s">
        <v>483</v>
      </c>
      <c r="Q233" s="449">
        <v>2.5165925912634051</v>
      </c>
      <c r="R233" s="8" t="s">
        <v>480</v>
      </c>
      <c r="S233" s="449">
        <v>22.208358312103531</v>
      </c>
    </row>
    <row r="234" spans="1:19" x14ac:dyDescent="0.2">
      <c r="B234" s="1" t="s">
        <v>482</v>
      </c>
      <c r="C234" s="8"/>
      <c r="D234" s="8"/>
      <c r="E234" s="8"/>
      <c r="F234" s="8"/>
      <c r="G234" s="8"/>
      <c r="H234" s="8"/>
      <c r="I234" s="8"/>
      <c r="J234" s="8"/>
      <c r="K234" s="450">
        <f>Comps!P40</f>
        <v>5.1488451912763677</v>
      </c>
      <c r="L234" s="450">
        <f>Comps!Q40</f>
        <v>4.2279819542783317</v>
      </c>
      <c r="M234" s="450">
        <f>Comps!S40</f>
        <v>46.010607028753995</v>
      </c>
      <c r="N234" s="450">
        <f>Comps!T40</f>
        <v>30.228516715173392</v>
      </c>
      <c r="O234" s="8"/>
      <c r="P234" s="8" t="s">
        <v>480</v>
      </c>
      <c r="Q234" s="449">
        <v>3.773828987070309</v>
      </c>
      <c r="R234" s="8" t="s">
        <v>483</v>
      </c>
      <c r="S234" s="449">
        <v>28.706545645229525</v>
      </c>
    </row>
    <row r="235" spans="1:19" x14ac:dyDescent="0.2">
      <c r="B235" s="1" t="s">
        <v>483</v>
      </c>
      <c r="C235" s="8"/>
      <c r="D235" s="8"/>
      <c r="E235" s="8"/>
      <c r="F235" s="8"/>
      <c r="G235" s="8"/>
      <c r="H235" s="8"/>
      <c r="I235" s="8"/>
      <c r="J235" s="8"/>
      <c r="K235" s="450">
        <f>Comps!P41</f>
        <v>2.9311958765617261</v>
      </c>
      <c r="L235" s="450">
        <f>Comps!Q41</f>
        <v>2.5165925912634051</v>
      </c>
      <c r="M235" s="450">
        <f>Comps!S41</f>
        <v>142.4722537152623</v>
      </c>
      <c r="N235" s="450">
        <f>Comps!T41</f>
        <v>28.706545645229525</v>
      </c>
      <c r="O235" s="8"/>
      <c r="P235" s="8" t="s">
        <v>482</v>
      </c>
      <c r="Q235" s="449">
        <v>4.2279819542783317</v>
      </c>
      <c r="R235" s="8" t="s">
        <v>482</v>
      </c>
      <c r="S235" s="449">
        <v>30.228516715173392</v>
      </c>
    </row>
    <row r="239" spans="1:19" x14ac:dyDescent="0.2">
      <c r="B239" s="142" t="s">
        <v>421</v>
      </c>
      <c r="C239" s="143"/>
      <c r="D239" s="142">
        <v>2023</v>
      </c>
      <c r="E239" s="142">
        <f>D239+1</f>
        <v>2024</v>
      </c>
      <c r="F239" s="300">
        <f>E239+1</f>
        <v>2025</v>
      </c>
      <c r="G239" s="300">
        <f t="shared" ref="G239:P239" si="173">F239+1</f>
        <v>2026</v>
      </c>
      <c r="H239" s="300">
        <f t="shared" si="173"/>
        <v>2027</v>
      </c>
      <c r="I239" s="300">
        <f t="shared" si="173"/>
        <v>2028</v>
      </c>
      <c r="J239" s="300">
        <f t="shared" si="173"/>
        <v>2029</v>
      </c>
      <c r="K239" s="300">
        <f t="shared" si="173"/>
        <v>2030</v>
      </c>
      <c r="L239" s="300">
        <f t="shared" si="173"/>
        <v>2031</v>
      </c>
      <c r="M239" s="300">
        <f t="shared" si="173"/>
        <v>2032</v>
      </c>
      <c r="N239" s="300">
        <f t="shared" si="173"/>
        <v>2033</v>
      </c>
      <c r="O239" s="300">
        <f t="shared" si="173"/>
        <v>2034</v>
      </c>
      <c r="P239" s="300">
        <f t="shared" si="173"/>
        <v>2035</v>
      </c>
    </row>
    <row r="240" spans="1:19" x14ac:dyDescent="0.2">
      <c r="B240" s="1" t="s">
        <v>493</v>
      </c>
      <c r="E240" s="133">
        <f>Summary!M40</f>
        <v>5.0761391200601455E-2</v>
      </c>
      <c r="F240" s="133">
        <f>Summary!N40</f>
        <v>5.8547308436957587E-2</v>
      </c>
      <c r="G240" s="133">
        <f>Summary!O40</f>
        <v>6.7799810319065526E-2</v>
      </c>
      <c r="H240" s="133">
        <f>Summary!P40</f>
        <v>7.4556254344915807E-2</v>
      </c>
      <c r="I240" s="133">
        <f>Summary!Q40</f>
        <v>8.2682269312740406E-2</v>
      </c>
      <c r="J240" s="133">
        <f>Summary!R40</f>
        <v>9.1218352662501556E-2</v>
      </c>
      <c r="K240" s="133">
        <f>Summary!S40</f>
        <v>0.10426391721546054</v>
      </c>
      <c r="L240" s="133">
        <f>Summary!T40</f>
        <v>0.11876872893358403</v>
      </c>
      <c r="M240" s="133">
        <f>Summary!U40</f>
        <v>0.13611291604516976</v>
      </c>
      <c r="N240" s="133">
        <f>Summary!V40</f>
        <v>0.15529714440107717</v>
      </c>
      <c r="O240" s="133">
        <f>Summary!W40</f>
        <v>0.17367773364135075</v>
      </c>
      <c r="P240" s="133">
        <f>Summary!X40</f>
        <v>0.19290902879466051</v>
      </c>
    </row>
    <row r="241" spans="1:16" x14ac:dyDescent="0.2">
      <c r="B241" s="1" t="s">
        <v>494</v>
      </c>
      <c r="E241" s="454">
        <v>5.1953906264045502E-2</v>
      </c>
      <c r="F241" s="454">
        <v>6.5374123147404831E-2</v>
      </c>
      <c r="G241" s="454">
        <v>7.8933020161153028E-2</v>
      </c>
      <c r="H241" s="454">
        <v>8.6292217886720826E-2</v>
      </c>
      <c r="I241" s="454">
        <v>9.7198943182620234E-2</v>
      </c>
      <c r="J241" s="454">
        <v>0.11008165987248053</v>
      </c>
      <c r="K241" s="454">
        <v>0.12624028874477997</v>
      </c>
      <c r="L241" s="454">
        <v>0.14480805021978158</v>
      </c>
      <c r="M241" s="454">
        <v>0.16692152724545564</v>
      </c>
      <c r="N241" s="454">
        <v>0.19157651376601426</v>
      </c>
      <c r="O241" s="454">
        <v>0.21583880502738328</v>
      </c>
      <c r="P241" s="454">
        <v>0.24168104221453618</v>
      </c>
    </row>
    <row r="244" spans="1:16" x14ac:dyDescent="0.2">
      <c r="A244" s="1" t="s">
        <v>22</v>
      </c>
    </row>
  </sheetData>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1caf72b58fa0efe0d740b7ffcc9e02a6">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6761c43701c422c186af20622ea80ebb"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dsFormulaCache xmlns="urn:fdsformulacache" version="2" timestamp="1761812272"><![CDATA[{"VOD-ZA^FG_MKT_VALUE(0,,,USD)":14797.863,"GOTO-ID^FG_COMPANY_NAME":"PT GoTo Gojek Tokopedia Tbk","IDEA-NSE^FF_NET_DEBT(ANN_R,0,,,,USD,M)":26050.5065352172,"UBER-US^FG_MKT_VALUE(0,,,USD)":188897.34,"VEON-US^FE_ESTIMATE(SALES,MEAN,ANN_ROLL,2,0,,,'CURRENCY=USD')":4555.4,"ADVANC-BKK^FE_ESTIMATE(SALES,MEAN,ANN_ROLL,0,0,,,'CURRENCY=USD')":6346.7803,"VIVT3-BR^FG_MKT_VALUE(0,,,USD)":19463.537,"AAF-GB^FE_ESTIMATE(SALES,MEAN,ANN_ROLL,1,0,,,'CURRENCY=USD')":5881.181,"941-HKG^FE_ESTIMATE(SALES,MEAN,ANN_ROLL,1,0,,,'CURRENCY=USD')":147544.56,"AMX-US^FG_ENT_VALUE(0,,,USD)":100124.69,"TRUE-BKK^FE_ESTIMATE(EBITDA,MEAN,ANN_ROLL,1,0,,,'CURRENCY=USD')":3269.0437,"762-HKG^FE_ESTIMATE(EBITDA,MEAN,ANN_ROLL,2,0,,,'CURRENCY=USD')":14181.034,"IDEA-NSE^FG_COMPANY_NAME":"Vodafone Idea Ltd","941-HKG^FF_NET_DEBT(ANN_R,0,,,,USD,M)":-43611.7421490001,"TRUE-BKK^FE_ESTIMATE(SALES,MEAN,ANN_ROLL,0,0,,,'CURRENCY=USD')":6120.6113,"AAF-GB^FG_COMPANY_NAME":"Airtel Africa Plc","BHARTIARTL-NSE^FE_ESTIMATE(EBITDA,MEAN,ANN_ROLL,1,0,,,'CURRENCY=USD')":13322.99,"UBER-US^FE_ESTIMATE(EBITDA,MEAN,ANN_ROLL,0,0,,,'CURRENCY=USD')":6484.0,"EXCL-JKT^FE_ESTIMATE(SALES,MEAN,ANN_ROLL,0,0,,,'CURRENCY=USD')":2121.5037,"ADVANC-BKK^FF_NET_DEBT(ANN_R,0,,,,USD,M)":7139.07805250466,"TLKM-JKT^FE_ESTIMATE(EBITDA,MEAN,ANN_ROLL,0,0,,,'CURRENCY=USD')":4465.4727,"AMX-US^FE_ESTIMATE(EBITDA,MEAN,ANN_ROLL,0,0,,,'CURRENCY=USD')":16941.527,"EXCL-JKT^FE_ESTIMATE(EBITDA,MEAN,ANN_ROLL,1,0,,,'CURRENCY=USD')":1330.5345,"TIMS3-BR^FG_COMPANY_NAME":"TIM S.A.","AMX-US^FE_ESTIMATE(SALES,MEAN,ANN_ROLL,2,0,,,'CURRENCY=USD')":51635.09,"EXCL-JKT^FE_ESTIMATE(EBITDA,MEAN,ANN_ROLL,0,0,,,'CURRENCY=USD')":1097.8724,"TIGO-US^FG_COMPANY_NAME":"Millicom International Cellular SA","AMX-US^FE_ESTIMATE(SALES,MEAN,ANN_ROLL,1,0,,,'CURRENCY=USD')":49617.098,"EXCL-JKT^FE_ESTIMATE(SALES,MEAN,ANN_ROLL,2,0,,,'CURRENCY=USD')":2968.1055,"VOD-ZA^FG_COMPANY_NAME":"Vodacom Group Limited","AMX-US^FG_MKT_VALUE(0,,,USD)":58365.645,"EXCL-JKT^FG_MKT_VALUE(0,,,USD)":3010.8918,"MTN-ZA^FG_COMPANY_NAME":"MTN Group Limited","VEON-US^FE_ESTIMATE(EBITDA,MEAN,ANN_ROLL,1,0,,,'CURRENCY=USD')":1811.2,"BHARTIARTL-NSE^FE_ESTIMATE(EBITDA,MEAN,ANN_ROLL,2,0,,,'CURRENCY=USD')":15363.379,"UBER-US^FE_ESTIMATE(EBITDA,MEAN,ANN_ROLL,2,0,,,'CURRENCY=USD')":11065.509,"MTN-ZA^FE_ESTIMATE(EBITDA,MEAN,ANN_ROLL,1,0,,,'CURRENCY=USD')":5044.224,"MTN-ZA^FF_NET_DEBT(ANN_R,0,,,,USD,M)":6065.28866413236,"TIMS3-BR^FG_MKT_VALUE(0,,,USD)":10037.142,"SCOM-KE^FE_ESTIMATE(EBITDA,MEAN,ANN_ROLL,0,0,,,'CURRENCY=USD')":1331.9224,"VEON-US^FG_ENT_VALUE(0,,,USD)":6710.26,"728-HKG^FE_ESTIMATE(SALES,MEAN,ANN_ROLL,2,0,,,'CURRENCY=USD')":77775.234,"TRUE-BKK^FG_ENT_VALUE(0,,,USD)":23931.531,"TRUE-BKK^FG_COMPANY_NAME":"True Corporation Public Company Limited","6947-KLS^FE_ESTIMATE(EBITDA,MEAN,ANN_ROLL,1,0,,,'CURRENCY=USD')":1402.4673,"6947-KLS^FE_ESTIMATE(SALES,MEAN,ANN_ROLL,2,0,,,'CURRENCY=USD')":3092.7444,"VIVT3-BR^FE_ESTIMATE(EBITDA,MEAN,ANN_ROLL,2,0,,,'CURRENCY=USD')":4875.0874,"TRUE-BKK^FG_MKT_VALUE(0,,,USD)":11542.304,"762-HKG^FF_NET_DEBT(ANN_R,0,,,,USD,M)":-3985.47807125419,"6012-KLS^FE_ESTIMATE(EBITDA,MEAN,ANN_ROLL,1,0,,,'CURRENCY=USD')":988.99976,"GOTO-ID^FG_ENT_VALUE(0,,,USD)":2832.9844,"ISAT-JKT^FE_ESTIMATE(SALES,MEAN,ANN_ROLL,0,0,,,'CURRENCY=USD')":3419.203,"VEON-US^FG_MKT_VALUE(0,,,USD)":3957.1218,"EXCL-JKT^FG_COMPANY_NAME":"PT XLSMART Telecom Sejahtera Tbk","ISAT-JKT^FF_NET_DEBT(ANN_R,0,,,,USD,M)":3131.05539669259,"VOD-ZA^FE_ESTIMATE(SALES,MEAN,ANN_ROLL,1,0,,,'CURRENCY=USD')":9431.248,"TLKM-JKT^FE_ESTIMATE(SALES,MEAN,ANN_ROLL,0,0,,,'CURRENCY=USD')":8915.473,"6012-KLS^FE_ESTIMATE(SALES,MEAN,ANN_ROLL,1,0,,,'CURRENCY=USD')":2530.6296,"TIGO-US^FE_ESTIMATE(SALES,MEAN,ANN_ROLL,0,0,,,'CURRENCY=USD')":5804.0,"GRAB-US^FG_MKT_VALUE(0,,,USD)":19646.32,"941-HKG^FG_COMPANY_NAME":"China Mobile Limited","6947-KLS^FE_ESTIMATE(EBITDA,MEAN,ANN_ROLL,2,0,,,'CURRENCY=USD')":1438.0269,"ADVANC-BKK^FE_ESTIMATE(SALES,MEAN,ANN_ROLL,2,0,,,'CURRENCY=USD')":7080.0137,"AAF-GB^FG_ENT_VALUE(0,,,USD)":15051.141,"UBER-US^FE_ESTIMATE(SALES,MEAN,ANN_ROLL,1,0,,,'CURRENCY=USD')":51329.92,"EXCL-JKT^FF_NET_DEBT(ANN_R,0,,,,USD,M)":2777.33529300286,"762-HKG^FE_ESTIMATE(EBITDA,MEAN,ANN_ROLL,0,0,,,'CURRENCY=USD')":13952.901,"ADVANC-BKK^FE_ESTIMATE(SALES,MEAN,ANN_ROLL,1,0,,,'CURRENCY=USD')":6893.7847,"AAF-GB^FF_NET_DEBT(ANN_R,0,,,,USD,M)":4397.00009102093,"6012-KLS^FE_ESTIMATE(SALES,MEAN,ANN_ROLL,0,0,,,'CURRENCY=USD')":2372.7363,"SCOM-KE^FG_COMPANY_NAME":"Safaricom PLC","941-HKG^FE_ESTIMATE(EBITDA,MEAN,ANN_ROLL,2,0,,,'CURRENCY=USD')":49350.88,"UBER-US^FF_NET_DEBT(ANN_R,0,,,,USD,M)":3914.0,"6888-KLS^FE_ESTIMATE(SALES,MEAN,ANN_ROLL,2,0,,,'CURRENCY=USD')":3181.557,"728-HKG^FG_ENT_VALUE(0,,,USD)":70341.984,"VIVT3-BR^FG_ENT_VALUE(0,,,USD)":21446.145,"VOD-ZA^FE_ESTIMATE(EBITDA,MEAN,ANN_ROLL,1,0,,,'CURRENCY=USD')":3536.06,"762-HKG^FG_ENT_VALUE(0,,,USD)":35767.938,"TIMS3-BR^FG_ENT_VALUE(0,,,USD)":12006.719,"VEON-US^FG_COMPANY_NAME":"VEON Ltd. Sponsored ADR","VEON-US^FE_ESTIMATE(SALES,MEAN,ANN_ROLL,1,0,,,'CURRENCY=USD')":4254.4,"ISAT-JKT^FE_ESTIMATE(SALES,MEAN,ANN_ROLL,2,0,,,'CURRENCY=USD')":3690.1213,"GOTO-ID^FE_ESTIMATE(EBITDA,MEAN,ANN_ROLL,0,0,,,'CURRENCY=USD')":19.884464,"VEON-US^FF_NET_DEBT(ANN_R,0,,,,USD,M)":2648.0,"6012-KLS^FG_COMPANY_NAME":"Maxis Bhd.","ISAT-JKT^FG_ENT_VALUE(0,,,USD)":7886.1416,"VOD-ZA^FE_ESTIMATE(EBITDA,MEAN,ANN_ROLL,2,0,,,'CURRENCY=USD')":3943.25,"ISAT-JKT^FG_COMPANY_NAME":"PT Indosat Tbk Class B","TLKM-JKT^FE_ESTIMATE(SALES,MEAN,ANN_ROLL,2,0,,,'CURRENCY=USD')":9483.281,"762-HKG^FG_COMPANY_NAME":"China Unicom (Hong Kong) Limited","VOD-ZA^FG_ENT_VALUE(0,,,USD)":18180.33,"762-HKG^FE_ESTIMATE(SALES,MEAN,ANN_ROLL,1,0,,,'CURRENCY=USD')":55948.516,"VIVT3-BR^FE_ESTIMATE(SALES,MEAN,ANN_ROLL,0,0,,,'CURRENCY=USD')":9661.515,"LYFT-US^FG_MKT_VALUE(0,,,USD)":5470.709,"VIVT3-BR^FE_ESTIMATE(SALES,MEAN,ANN_ROLL,2,0,,,'CURRENCY=USD')":11399.288,"ADVANC-BKK^FE_ESTIMATE(EBITDA,MEAN,ANN_ROLL,1,0,,,'CURRENCY=USD')":3655.918,"VIVT3-BR^FE_ESTIMATE(SALES,MEAN,ANN_ROLL,1,0,,,'CURRENCY=USD')":10838.565,"EXCL-JKT^FE_ESTIMATE(SALES,MEAN,ANN_ROLL,1,0,,,'CURRENCY=USD')":2778.6855,"GRAB-US^FF_NET_DEBT(ANN_R,0,,,,USD,M)":-5265.0,"GOTO-ID^FE_ESTIMATE(EBITDA,MEAN,ANN_ROLL,2,0,,,'CURRENCY=USD')":164.30667,"TIMS3-BR^FE_ESTIMATE(SALES,MEAN,ANN_ROLL,1,0,,,'CURRENCY=USD')":4871.101,"SCOM-KE^FG_ENT_VALUE(0,,,USD)":8568.941,"6947-KLS^FG_MKT_VALUE(0,,,USD)":10502.512,"941-HKG^FE_ESTIMATE(EBITDA,MEAN,ANN_ROLL,0,0,,,'CURRENCY=USD')":46475.76,"LILAK-US^FE_ESTIMATE(EBITDA,MEAN,ANN_ROLL,0,0,,,'CURRENCY=USD')":1443.4,"6012-KLS^FG_MKT_VALUE(0,,,USD)":6385.0303,"6888-KLS^FG_COMPANY_NAME":"Axiata Group Bhd.","VIVT3-BR^FF_NET_DEBT(ANN_R,0,,,,USD,M)":2250.692310237,"VOD-ZA^FE_ESTIMATE(EBITDA,MEAN,ANN_ROLL,0,0,,,'CURRENCY=USD')":3069.609,"ADVANC-BKK^FG_ENT_VALUE(0,,,USD)":34195.57,"728-HKG^FE_ESTIMATE(SALES,MEAN,ANN_ROLL,0,0,,,'CURRENCY=USD')":72887.31,"UBER-US^FE_ESTIMATE(SALES,MEAN,ANN_ROLL,2,0,,,'CURRENCY=USD')":59100.203,"IDEA-NSE^FE_ESTIMATE(EBITDA,MEAN,ANN_ROLL,2,0,,,'CURRENCY=USD')":2853.2498,"GOTO-ID^FE_ESTIMATE(SALES,MEAN,ANN_ROLL,2,0,,,'CURRENCY=USD')":1322.2991,"TLKM-JKT^FG_ENT_VALUE(0,,,USD)":22293.105,"GOTO-ID^FE_ESTIMATE(SALES,MEAN,ANN_ROLL,1,0,,,'CURRENCY=USD')":1125.7223,"SCOM-KE^FE_ESTIMATE(SALES,MEAN,ANN_ROLL,1,0,,,'CURRENCY=USD')":3386.7083,"IDEA-NSE^FE_ESTIMATE(EBITDA,MEAN,ANN_ROLL,1,0,,,'CURRENCY=USD')":2340.2603,"GOTO-ID^FE_ESTIMATE(SALES,MEAN,ANN_ROLL,0,0,,,'CURRENCY=USD')":966.4944,"IDEA-NSE^FE_ESTIMATE(EBITDA,MEAN,ANN_ROLL,0,0,,,'CURRENCY=USD')":2125.7798,"GRAB-US^FE_ESTIMATE(EBITDA,MEAN,ANN_ROLL,1,0,,,'CURRENCY=USD')":476.41504,"GRAB-US^FE_ESTIMATE(SALES,MEAN,ANN_ROLL,2,0,,,'CURRENCY=USD')":4054.1067,"728-HKG^FG_MKT_VALUE(0,,,USD)":72273.62,"TIGO-US^FE_ESTIMATE(EBITDA,MEAN,ANN_ROLL,1,0,,,'CURRENCY=USD')":2557.673,"LILAK-US^FE_ESTIMATE(SALES,MEAN,ANN_ROLL,1,0,,,'CURRENCY=USD')":4469.0522,"BHARTIARTL-NSE^FE_ESTIMATE(SALES,MEAN,ANN_ROLL,0,0,,,'CURRENCY=USD')":20270.262,"TLKM-JKT^FE_ESTIMATE(EBITDA,MEAN,ANN_ROLL,1,0,,,'CURRENCY=USD')":4606.896,"SCOM-KE^FE_ESTIMATE(SALES,MEAN,ANN_ROLL,2,0,,,'CURRENCY=USD')":3781.5686,"SCOM-KE^FE_ESTIMATE(SALES,MEAN,ANN_ROLL,0,0,,,'CURRENCY=USD')":3008.3384,"MTN-ZA^FE_ESTIMATE(EBITDA,MEAN,ANN_ROLL,2,0,,,'CURRENCY=USD')":6090.2754,"IDEA-NSE^FE_ESTIMATE(SALES,MEAN,ANN_ROLL,1,0,,,'CURRENCY=USD')":5378.8613,"MTN-ZA^FE_ESTIMATE(EBITDA,MEAN,ANN_ROLL,0,0,,,'CURRENCY=USD')":3510.1157,"MTN-ZA^FE_ESTIMATE(SALES,MEAN,ANN_ROLL,2,0,,,'CURRENCY=USD')":13868.012,"ISAT-JKT^FE_ESTIMATE(EBITDA,MEAN,ANN_ROLL,2,0,,,'CURRENCY=USD')":1770.0521,"TLKM-JKT^FE_ESTIMATE(EBITDA,MEAN,ANN_ROLL,2,0,,,'CURRENCY=USD')":4766.248,"VOD-ZA^FE_ESTIMATE(SALES,MEAN,ANN_ROLL,2,0,,,'CURRENCY=USD')":10301.616,"GOTO-ID^FF_NET_DEBT(ANN_R,0,,,,USD,M)":-1062.99603647198,"TIGO-US^FE_ESTIMATE(EBITDA,MEAN,ANN_ROLL,0,0,,,'CURRENCY=USD')":2531.562,"MTN-ZA^FE_ESTIMATE(SALES,MEAN,ANN_ROLL,1,0,,,'CURRENCY=USD')":12142.349,"6012-KLS^FG_ENT_VALUE(0,,,USD)":8325.763,"LILAK-US^FG_COMPANY_NAME":"Liberty Latin America Ltd. Class C","AMX-US^FE_ESTIMATE(EBITDA,MEAN,ANN_ROLL,2,0,,,'CURRENCY=USD')":20457.598,"ISAT-JKT^FE_ESTIMATE(SALES,MEAN,ANN_ROLL,1,0,,,'CURRENCY=USD')":3514.0864,"GOTO-ID^FE_ESTIMATE(EBITDA,MEAN,ANN_ROLL,1,0,,,'CURRENCY=USD')":98.68775,"TIMS3-BR^FE_ESTIMATE(SALES,MEAN,ANN_ROLL,0,0,,,'CURRENCY=USD')":4404.7373,"SCOM-KE^FE_ESTIMATE(EBITDA,MEAN,ANN_ROLL,2,0,,,'CURRENCY=USD')":1952.631,"6888-KLS^FE_ESTIMATE(SALES,MEAN,ANN_ROLL,1,0,,,'CURRENCY=USD')":3717.0923,"TLKM-JKT^FG_MKT_VALUE(0,,,USD)":18204.717,"941-HKG^FE_ESTIMATE(SALES,MEAN,ANN_ROLL,2,0,,,'CURRENCY=USD')":151485.66,"TIGO-US^FE_ESTIMATE(SALES,MEAN,ANN_ROLL,1,0,,,'CURRENCY=USD')":5568.694,"762-HKG^FE_ESTIMATE(EBITDA,MEAN,ANN_ROLL,1,0,,,'CURRENCY=USD')":14188.705,"LYFT-US^FE_ESTIMATE(EBITDA,MEAN,ANN_ROLL,2,0,,,'CURRENCY=USD')":663.94934,"MTN-ZA^FG_MKT_VALUE(0,,,USD)":16485.947,"500325-BOM^FE_ESTIMATE(EBITDA,MEAN,ANN_ROLL,1,0,,,'CURRENCY=USD')":21539.178,"LYFT-US^FE_ESTIMATE(EBITDA,MEAN,ANN_ROLL,1,0,,,'CURRENCY=USD')":521.9348,"AAF-GB^FE_ESTIMATE(EBITDA,MEAN,ANN_ROLL,2,0,,,'CURRENCY=USD')":3282.7278,"500325-BOM^FE_ESTIMATE(EBITDA,MEAN,ANN_ROLL,0,0,,,'CURRENCY=USD')":19558.95,"LYFT-US^FE_ESTIMATE(EBITDA,MEAN,ANN_ROLL,0,0,,,'CURRENCY=USD')":382.4,"AAF-GB^FE_ESTIMATE(EBITDA,MEAN,ANN_ROLL,1,0,,,'CURRENCY=USD')":2843.2202,"500325-BOM^FG_ENT_VALUE(0,,,USD)":250439.31,"LYFT-US^FG_ENT_VALUE(0,,,USD)":4487.77,"AAF-GB^FE_ESTIMATE(SALES,MEAN,ANN_ROLL,0,0,,,'CURRENCY=USD')":4955.0,"500325-BOM^FG_MKT_VALUE(0,,,USD)":214077.9,"UBER-US^FG_COMPANY_NAME":"Uber Technologies, Inc.","LILAK-US^FG_ENT_VALUE(0,,,USD)":10219.867,"6012-KLS^FE_ESTIMATE(SALES,MEAN,ANN_ROLL,2,0,,,'CURRENCY=USD')":2600.7368,"ISAT-JKT^FE_ESTIMATE(EBITDA,MEAN,ANN_ROLL,1,0,,,'CURRENCY=USD')":1670.8859,"500325-BOM^FF_NET_DEBT(ANN_R,0,,,,USD,M)":16890.1102462411,"UBER-US^FG_ENT_VALUE(0,,,USD)":193710.34,"BHARTIARTL-NSE^FG_ENT_VALUE(0,,,USD)":146718.66,"VIVT3-BR^FE_ESTIMATE(EBITDA,MEAN,ANN_ROLL,0,0,,,'CURRENCY=USD')":4009.9922,"762-HKG^FE_ESTIMATE(SALES,MEAN,ANN_ROLL,2,0,,,'CURRENCY=USD')":57578.875,"LILAK-US^FE_ESTIMATE(EBITDA,MEAN,ANN_ROLL,2,0,,,'CURRENCY=USD')":1741.5006,"AAF-GB^FE_ESTIMATE(EBITDA,MEAN,ANN_ROLL,0,0,,,'CURRENCY=USD')":2300.0,"ISAT-JKT^FE_ESTIMATE(EBITDA,MEAN,ANN_ROLL,0,0,,,'CURRENCY=USD')":1615.3845,"TLKM-JKT^FG_COMPANY_NAME":"PT Telkom Indonesia (Persero) Tbk Class B","VEON-US^FE_ESTIMATE(SALES,MEAN,ANN_ROLL,0,0,,,'CURRENCY=USD')":4004.0,"500325-BOM^FE_ESTIMATE(SALES,MEAN,ANN_ROLL,0,0,,,'CURRENCY=USD')":113372.12,"GOTO-ID^FG_MKT_VALUE(0,,,USD)":4025.1726,"TIGO-US^FE_ESTIMATE(SALES,MEAN,ANN_ROLL,2,0,,,'CURRENCY=USD')":5690.3555,"SCOM-KE^FF_NET_DEBT(ANN_R,0,,,,USD,M)":146.745548023377,"6947-KLS^FE_ESTIMATE(EBITDA,MEAN,ANN_ROLL,0,0,,,'CURRENCY=USD')":1306.4707,"IDEA-NSE^FG_ENT_VALUE(0,,,USD)":34219.758,"GRAB-US^FG_COMPANY_NAME":"Grab Holdings Limited Class A","AMX-US^FF_NET_DEBT(ANN_R,0,,,,USD,M)":33538.280121677,"LYFT-US^FG_COMPANY_NAME":"Lyft, Inc. Class A","UBER-US^FE_ESTIMATE(SALES,MEAN,ANN_ROLL,0,0,,,'CURRENCY=USD')":43978.0,"TRUE-BKK^FE_ESTIMATE(SALES,MEAN,ANN_ROLL,1,0,,,'CURRENCY=USD')":6279.4775,"BHARTIARTL-NSE^FF_NET_DEBT(ANN_R,0,,,,USD,M)":22845.8267828077,"500325-BOM^FE_ESTIMATE(SALES,MEAN,ANN_ROLL,2,0,,,'CURRENCY=USD')":124478.86,"TRUE-BKK^FE_ESTIMATE(EBITDA,MEAN,ANN_ROLL,0,0,,,'CURRENCY=USD')":2930.9138,"GRAB-US^FE_ESTIMATE(SALES,MEAN,ANN_ROLL,0,0,,,'CURRENCY=USD')":2797.0,"BHARTIARTL-NSE^FG_MKT_VALUE(0,,,USD)":120702.445,"6888-KLS^FE_ESTIMATE(SALES,MEAN,ANN_ROLL,0,0,,,'CURRENCY=USD')":5042.8125,"LYFT-US^FE_ESTIMATE(SALES,MEAN,ANN_ROLL,2,0,,,'CURRENCY=USD')":7424.951,"LILAK-US^FF_NET_DEBT(ANN_R,0,,,,USD,M)":7963.60000000008,"TRUE-BKK^FE_ESTIMATE(EBITDA,MEAN,ANN_ROLL,2,0,,,'CURRENCY=USD')":3480.6428,"TLKM-JKT^FF_NET_DEBT(ANN_R,0,,,,USD,M)":2589.49987600499,"GRAB-US^FE_ESTIMATE(EBITDA,MEAN,ANN_ROLL,2,0,,,'CURRENCY=USD')":750.0045,"BHARTIARTL-NSE^FE_ESTIMATE(SALES,MEAN,ANN_ROLL,2,0,,,'CURRENCY=USD')":26807.723,"GRAB-US^FG_ENT_VALUE(0,,,USD)":14401.32,"MTN-ZA^FE_ESTIMATE(SALES,MEAN,ANN_ROLL,0,0,,,'CURRENCY=USD')":10396.848,"500325-BOM^FE_ESTIMATE(SALES,MEAN,ANN_ROLL,1,0,,,'CURRENCY=USD')":115000.04,"500325-BOM^FG_COMPANY_NAME":"Reliance Industries Limited","TIMS3-BR^FE_ESTIMATE(EBITDA,MEAN,ANN_ROLL,0,0,,,'CURRENCY=USD')":2207.9575,"6888-KLS^FE_ESTIMATE(EBITDA,MEAN,ANN_ROLL,0,0,,,'CURRENCY=USD')":2467.7102,"728-HKG^FE_ESTIMATE(EBITDA,MEAN,ANN_ROLL,0,0,,,'CURRENCY=USD')":19474.666,"TLKM-JKT^FE_ESTIMATE(SALES,MEAN,ANN_ROLL,1,0,,,'CURRENCY=USD')":9221.196,"VOD-ZA^FF_NET_DEBT(ANN_R,0,,,,USD,M)":2749.96065830067,"VIVT3-BR^FG_COMPANY_NAME":"Telefonica Brasil S.A.","TIMS3-BR^FE_ESTIMATE(EBITDA,MEAN,ANN_ROLL,2,0,,,'CURRENCY=USD')":2590.4795,"6888-KLS^FG_MKT_VALUE(0,,,USD)":5684.6416,"ADVANC-BKK^FG_MKT_VALUE(0,,,USD)":27322.621,"AMX-US^FE_ESTIMATE(EBITDA,MEAN,ANN_ROLL,1,0,,,'CURRENCY=USD')":19558.021,"EXCL-JKT^FE_ESTIMATE(EBITDA,MEAN,ANN_ROLL,2,0,,,'CURRENCY=USD')":1478.2474,"VOD-ZA^FE_ESTIMATE(SALES,MEAN,ANN_ROLL,0,0,,,'CURRENCY=USD')":8424.294,"SCOM-KE^FE_ESTIMATE(EBITDA,MEAN,ANN_ROLL,1,0,,,'CURRENCY=USD')":1712.7935,"LILAK-US^FE_ESTIMATE(EBITDA,MEAN,ANN_ROLL,1,0,,,'CURRENCY=USD')":1647.5092,"6012-KLS^FE_ESTIMATE(EBITDA,MEAN,ANN_ROLL,2,0,,,'CURRENCY=USD')":1009.10077,"AMX-US^FG_COMPANY_NAME":"America Movil SAB de CV Sponsored ADR Class B","SCOM-KE^FG_MKT_VALUE(0,,,USD)":8186.513,"TIMS3-BR^FE_ESTIMATE(EBITDA,MEAN,ANN_ROLL,1,0,,,'CURRENCY=USD')":2449.6646,"6888-KLS^FE_ESTIMATE(EBITDA,MEAN,ANN_ROLL,2,0,,,'CURRENCY=USD')":1463.3627,"728-HKG^FE_ESTIMATE(EBITDA,MEAN,ANN_ROLL,2,0,,,'CURRENCY=USD')":20664.451,"6888-KLS^FE_ESTIMATE(EBITDA,MEAN,ANN_ROLL,1,0,,,'CURRENCY=USD')":1707.6757,"728-HKG^FE_ESTIMATE(EBITDA,MEAN,ANN_ROLL,1,0,,,'CURRENCY=USD')":20084.229,"TIMS3-BR^FE_ESTIMATE(SALES,MEAN,ANN_ROLL,2,0,,,'CURRENCY=USD')":5096.4424,"TIMS3-BR^FF_NET_DEBT(ANN_R,0,,,,USD,M)":1605.43932738151,"6888-KLS^FG_ENT_VALUE(0,,,USD)":13440.718,"728-HKG^FF_NET_DEBT(ANN_R,0,,,,USD,M)":-5653.45770471555,"TIGO-US^FE_ESTIMATE(EBITDA,MEAN,ANN_ROLL,2,0,,,'CURRENCY=USD')":2606.6443,"728-HKG^FG_COMPANY_NAME":"China Telecom Corp. Ltd. Class H","728-HKG^FE_ESTIMATE(SALES,MEAN,ANN_ROLL,1,0,,,'CURRENCY=USD')":75548.47,"ADVANC-BKK^FG_COMPANY_NAME":"Advanced Info Service Public Co., Ltd.","941-HKG^FG_MKT_VALUE(0,,,USD)":239308.16,"ISAT-JKT^FG_MKT_VALUE(0,,,USD)":4479.828,"ADVANC-BKK^FE_ESTIMATE(EBITDA,MEAN,ANN_ROLL,2,0,,,'CURRENCY=USD')":3803.6848,"500325-BOM^FE_ESTIMATE(EBITDA,MEAN,ANN_ROLL,2,0,,,'CURRENCY=USD')":24059.318,"TIGO-US^FG_ENT_VALUE(0,,,USD)":13878.242,"6947-KLS^FE_ESTIMATE(SALES,MEAN,ANN_ROLL,0,0,,,'CURRENCY=USD')":2846.105,"941-HKG^FE_ESTIMATE(EBITDA,MEAN,ANN_ROLL,1,0,,,'CURRENCY=USD')":48121.54,"VIVT3-BR^FE_ESTIMATE(EBITDA,MEAN,ANN_ROLL,1,0,,,'CURRENCY=USD')":4482.3423,"6947-KLS^FG_ENT_VALUE(0,,,USD)":13393.023,"6947-KLS^FG_COMPANY_NAME":"CelcomDigi Berhad","TIGO-US^FG_MKT_VALUE(0,,,USD)":7319.242,"LILAK-US^FG_MKT_VALUE(0,,,USD)":1534.7671,"BHARTIARTL-NSE^FG_COMPANY_NAME":"Bharti Airtel Limited","LILAK-US^FE_ESTIMATE(SALES,MEAN,ANN_ROLL,2,0,,,'CURRENCY=USD')":4596.898,"BHARTIARTL-NSE^FE_ESTIMATE(EBITDA,MEAN,ANN_ROLL,0,0,,,'CURRENCY=USD')":11052.018,"6012-KLS^FE_ESTIMATE(EBITDA,MEAN,ANN_ROLL,0,0,,,'CURRENCY=USD')":928.01117,"EXCL-JKT^FG_ENT_VALUE(0,,,USD)":5639.85,"TIGO-US^FF_NET_DEBT(ANN_R,0,,,,USD,M)":6013.00000003638,"762-HKG^FG_MKT_VALUE(0,,,USD)":39407.49,"6947-KLS^FF_NET_DEBT(ANN_R,0,,,,USD,M)":2866.03008328749,"LYFT-US^FF_NET_DEBT(ANN_R,0,,,,USD,M)":-726.511,"TRUE-BKK^FE_ESTIMATE(SALES,MEAN,ANN_ROLL,2,0,,,'CURRENCY=USD')":6179.6245,"UBER-US^FE_ESTIMATE(EBITDA,MEAN,ANN_ROLL,1,0,,,'CURRENCY=USD')":8722.407,"LYFT-US^FE_ESTIMATE(SALES,MEAN,ANN_ROLL,0,0,,,'CURRENCY=USD')":5786.0,"LILAK-US^FE_ESTIMATE(SALES,MEAN,ANN_ROLL,0,0,,,'CURRENCY=USD')":4457.0,"VEON-US^FE_ESTIMATE(EBITDA,MEAN,ANN_ROLL,2,0,,,'CURRENCY=USD')":2008.6,"6947-KLS^FE_ESTIMATE(SALES,MEAN,ANN_ROLL,1,0,,,'CURRENCY=USD')":3044.7854,"AMX-US^FE_ESTIMATE(SALES,MEAN,ANN_ROLL,0,0,,,'CURRENCY=USD')":42392.703,"TRUE-BKK^FF_NET_DEBT(ANN_R,0,,,,USD,M)":11999.1386320912,"IDEA-NSE^FG_MKT_VALUE(0,,,USD)":8169.2515,"BHARTIARTL-NSE^FE_ESTIMATE(SALES,MEAN,ANN_ROLL,1,0,,,'CURRENCY=USD')":23670.451,"IDEA-NSE^FE_ESTIMATE(SALES,MEAN,ANN_ROLL,0,0,,,'CURRENCY=USD')":5091.5923,"ADVANC-BKK^FE_ESTIMATE(EBITDA,MEAN,ANN_ROLL,0,0,,,'CURRENCY=USD')":3322.977,"GRAB-US^FE_ESTIMATE(SALES,MEAN,ANN_ROLL,1,0,,,'CURRENCY=USD')":3406.1924,"MTN-ZA^FG_ENT_VALUE(0,,,USD)":23346.254,"VEON-US^FE_ESTIMATE(EBITDA,MEAN,ANN_ROLL,0,0,,,'CURRENCY=USD')":1691.0,"6888-KLS^FF_NET_DEBT(ANN_R,0,,,,USD,M)":6567.25577225147,"941-HKG^FE_ESTIMATE(SALES,MEAN,ANN_ROLL,0,0,,,'CURRENCY=USD')":143552.95,"LYFT-US^FE_ESTIMATE(SALES,MEAN,ANN_ROLL,1,0,,,'CURRENCY=USD')":6527.779,"GRAB-US^FE_ESTIMATE(EBITDA,MEAN,ANN_ROLL,0,0,,,'CURRENCY=USD')":313.0,"IDEA-NSE^FE_ESTIMATE(SALES,MEAN,ANN_ROLL,2,0,,,'CURRENCY=USD')":6141.191,"AAF-GB^FE_ESTIMATE(SALES,MEAN,ANN_ROLL,2,0,,,'CURRENCY=USD')":6732.5737,"941-HKG^FG_ENT_VALUE(0,,,USD)":205884.81,"AAF-GB^FG_MKT_VALUE(0,,,USD)":10365.141,"6012-KLS^FF_NET_DEBT(ANN_R,0,,,,USD,M)":1973.61072488129,"762-HKG^FE_ESTIMATE(SALES,MEAN,ANN_ROLL,0,0,,,'CURRENCY=USD')":53841.12,"USDUAH^P_PRICE_AVG(45658,45658)":42.01002,"USDUAH^P_PRICE_AVG(45870,45870)":null,"USDUAH^P_PRICE_AVG(45869,45869)":41.7338,"^P_EXCH_RATE(EUR,USD,0)":1.14455,"^P_EXCH_RATE(USDUAH,USD,0)":"#NUM","^P_EXCH_RATE(EUR,USD,45658)":1.0354693,"^P_EXCH_RATE(EUR,USD,45658,45869)":[1.0354693,1.0275,1.0289,1.0394,1.03725,1.0300499,1.02995,1.02495,1.0197,1.0294499,1.03055,1.0300499,1.0301,1.04005,1.04005,1.04195,1.03975,1.0518,1.0498999,1.04245,1.042,1.04315,1.03955,1.03145,1.0380499,1.04215,1.03695,1.03445,1.03155,1.0341,1.0373499,1.04335,1.0508499,1.04795,1.0467,1.0424,1.04745,1.0455,1.0469,1.0498,1.05065,1.0412999,1.0400001,1.04855,1.05275,1.0764,1.0818,1.087,1.08375,1.0927,1.0921999,1.0858,1.08725,1.09215,1.0927,1.0877,1.0847,1.0809,1.0794001,1.08005,1.0782,1.0798,1.0823,1.0802,1.08105,1.08565,1.11185,1.09885,1.09225,1.0911,1.10385,1.11805,1.13385,1.13675,1.1328,1.13825,1.1350499,1.1350459,1.14985,1.1478,1.135,1.13735,1.13685,1.1379,1.13835,1.13675,1.12815,1.1369,1.13395,1.13425,1.13675,1.1277499,1.12685,1.1112,1.11625,1.12135,1.1187,1.11555,1.12535,1.12685,1.1341,1.1278499,1.13445,1.13845,1.13415,1.1302,1.1350499,1.13525,1.1435499,1.1392499,1.14335,1.14575,1.1389,1.1408501,1.1425999,1.14825,1.15825,1.15435,1.1592,1.1527,1.15085,1.14685,1.1515,1.15305,1.1617,1.1621001,1.1708,1.1718,1.17385,1.17785,1.17675,1.17525,1.17785,1.17385,1.1693,1.17155,1.16805,1.16935,1.16835,1.1618,1.1596501,1.15875,1.16475,1.16975,1.17235,1.1734,1.17665,1.17305,1.16375,1.1522499,1.148,1.14455],"^P_EXCH_RATE(UAH,USD,45658,45869)":[0.023803845,0.023761436,0.023719165,0.02367144,0.023661638,0.023623906,0.023586713,0.023660239,0.023609964,0.023651846,0.023696681,0.023730423,0.023744509,0.0237023,0.02374169,0.02379253,0.023820868,0.023866348,0.023809524,0.023826541,0.023864783,0.023912003,0.023986569,0.023975067,0.023963576,0.024024025,0.024136983,0.024081878,0.024032395,0.02395353,0.023909144,0.023932032,0.024042074,0.024067389,0.024016524,0.023966448,0.02400528,0.024024025,0.023946362,0.023952097,0.024006722,0.024067389,0.024067389,0.024047133,0.024084779,0.024154589,0.024183799,0.024242423,0.024180872,0.0241341,0.02407608,0.024086026,0.024122542,0.024058703,0.024052916,0.024058184,0.024070287,0.024061596,0.02400096,0.024018254,0.024061596,0.024089914,0.024116725,0.024113817,0.024186721,0.024186721,0.024213076,0.024307244,0.024324981,0.024283633,0.024096385,0.024140013,0.024185259,0.024213076,0.024283633,0.024208622,0.024142927,0.02414293,0.024148757,0.024035573,0.023946362,0.023972135,0.023916293,0.02399664,0.024058703,0.024103936,0.024103936,0.024103936,0.024071734,0.024122542,0.024116725,0.024068866,0.024067389,0.02409058,0.024070287,0.024103645,0.024113817,0.024081878,0.024096385,0.02409058,0.024115272,0.024095805,0.024084779,0.024009602,0.02401537,0.02407666,0.024084227,0.02407898,0.023989588,0.024064492,0.024068836,0.024139866,0.024139283,0.02407898,0.02407608,0.024058703,0.024128363,0.024108004,0.024024025,0.024055809,0.023977939,0.023899145,0.023846429,0.023854963,0.023940627,0.024019264,0.024061596,0.023966448,0.023980815,0.023883305,0.023952097,0.023940627,0.023963576,0.023894863,0.023923445,0.023923445,0.023897717,0.02392917,0.023917722,0.023914864,0.023866348,0.023952097,0.023943493,0.023946362,0.023946362,0.023927739,0.023943493,0.023937762,0.023946362,0.023923445,0.023980815,0.023961393],"^P_EXCH_RATE(,USD,,)":null,"^P_EXCH_RATE(UAH,UAH,45658,45869)":[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1.0],"^P_EXCH_RATE(USD,UAH,45658,45869)":[42.01002,42.085,42.16,42.245,42.2625,42.33,42.39675,42.265,42.355,42.28,42.2,42.14,42.115,42.19,42.12,42.03,41.98,41.9,42.0,41.97,41.90275,41.82,41.69,41.71,41.73,41.625,41.4302,41.525,41.6105,41.7475,41.825,41.785,41.59375,41.55,41.638,41.725,41.6575,41.625,41.76,41.75,41.655,41.55,41.55,41.585,41.52,41.4,41.35,41.25,41.355,41.43515,41.535,41.51785,41.455,41.565,41.575,41.5659,41.545,41.56,41.665,41.635,41.56,41.51115,41.465,41.47,41.345,41.345,41.3,41.14,41.11,41.18,41.5,41.425,41.3475,41.3,41.18,41.3076,41.42,41.419994,41.41,41.605,41.76,41.7151,41.8125,41.6725,41.565,41.487,41.487,41.487,41.5425,41.455,41.465,41.54745,41.55,41.51,41.545,41.4875,41.47,41.525,41.5,41.51,41.4675,41.501,41.52,41.65,41.64,41.534,41.52095,41.53,41.68475,41.555,41.5475,41.42525,41.42625,41.53,41.535,41.565,41.445,41.48,41.625,41.57,41.705,41.8425,41.935,41.92,41.77,41.63325,41.56,41.725,41.7,41.87025,41.75,41.77,41.73,41.85,41.8,41.8,41.845,41.79,41.81,41.815,41.9,41.75,41.765,41.76,41.76,41.7925,41.765,41.775,41.76,41.8,41.7,41.7338],"HTWS-GB^P_DATE(45658,45869,D,\"DATEI\")":["01/01/2025","02/01/2025","03/01/2025","06/01/2025","07/01/2025","08/01/2025","09/01/2025","10/01/2025","13/01/2025","14/01/2025","15/01/2025","16/01/2025","17/01/2025","20/01/2025","21/01/2025","22/01/2025","23/01/2025","24/01/2025","27/01/2025","28/01/2025","29/01/2025","30/01/2025","31/01/2025","03/02/2025","04/02/2025","05/02/2025","06/02/2025","07/02/2025","10/02/2025","11/02/2025","12/02/2025","13/02/2025","14/02/2025","17/02/2025","18/02/2025","19/02/2025","20/02/2025","21/02/2025","24/02/2025","25/02/2025","26/02/2025","27/02/2025","28/02/2025","03/03/2025","04/03/2025","05/03/2025","06/03/2025","07/03/2025","10/03/2025","11/03/2025","12/03/2025","13/03/2025","14/03/2025","17/03/2025","18/03/2025","19/03/2025","20/03/2025","21/03/2025","24/03/2025","25/03/2025","26/03/2025","27/03/2025","28/03/2025","31/03/2025","01/04/2025","02/04/2025","03/04/2025","04/04/2025","07/04/2025","08/04/2025","09/04/2025","10/04/2025","11/04/2025","14/04/2025","15/04/2025","16/04/2025","17/04/2025","18/04/2025","21/04/2025","22/04/2025","23/04/2025","24/04/2025","25/04/2025","28/04/2025","29/04/2025","30/04/2025","01/05/2025","02/05/2025","05/05/2025","06/05/2025","07/05/2025","08/05/2025","09/05/2025","12/05/2025","13/05/2025","14/05/2025","15/05/2025","16/05/2025","19/05/2025","20/05/2025","21/05/2025","22/05/2025","23/05/2025","26/05/2025","27/05/2025","28/05/2025","29/05/2025","30/05/2025","02/06/2025","03/06/2025","04/06/2025","05/06/2025","06/06/2025","09/06/2025","10/06/2025","11/06/2025","12/06/2025","13/06/2025","16/06/2025","17/06/2025","18/06/2025","19/06/2025","20/06/2025","23/06/2025","24/06/2025","25/06/2025","26/06/2025","27/06/2025","30/06/2025","01/07/2025","02/07/2025","03/07/2025","04/07/2025","07/07/2025","08/07/2025","09/07/2025","10/07/2025","11/07/2025","14/07/2025","15/07/2025","16/07/2025","17/07/2025","18/07/2025","21/07/2025","22/07/2025","23/07/2025","24/07/2025","25/07/2025","28/07/2025","29/07/2025","30/07/2025","31/07/2025"],"USDUAH^P_PRICE_AVG(45292,45657)":40.19286,"USDUAH^P_PRICE_AVG(45657,45869)":41.667206}]]></FdsFormulaCache>
</file>

<file path=customXml/itemProps1.xml><?xml version="1.0" encoding="utf-8"?>
<ds:datastoreItem xmlns:ds="http://schemas.openxmlformats.org/officeDocument/2006/customXml" ds:itemID="{BD300659-E8E9-4EA1-9DBD-53D1A11A860D}">
  <ds:schemaRefs>
    <ds:schemaRef ds:uri="http://schemas.microsoft.com/sharepoint/v3/contenttype/forms"/>
  </ds:schemaRefs>
</ds:datastoreItem>
</file>

<file path=customXml/itemProps2.xml><?xml version="1.0" encoding="utf-8"?>
<ds:datastoreItem xmlns:ds="http://schemas.openxmlformats.org/officeDocument/2006/customXml" ds:itemID="{2A6561A6-264E-4279-A740-69AF4F1E236C}">
  <ds:schemaRefs>
    <ds:schemaRef ds:uri="http://purl.org/dc/elements/1.1/"/>
    <ds:schemaRef ds:uri="7a64ecaf-0ff2-4962-b687-c42052c96c69"/>
    <ds:schemaRef ds:uri="http://purl.org/dc/dcmitype/"/>
    <ds:schemaRef ds:uri="http://purl.org/dc/term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ac44878d-96d9-4f15-b496-a71362426953"/>
  </ds:schemaRefs>
</ds:datastoreItem>
</file>

<file path=customXml/itemProps3.xml><?xml version="1.0" encoding="utf-8"?>
<ds:datastoreItem xmlns:ds="http://schemas.openxmlformats.org/officeDocument/2006/customXml" ds:itemID="{41BE4ED5-63D1-4A7D-8E96-596E836D5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9CCE4B-1CE2-4CEC-92C9-B45AE524B4F2}">
  <ds:schemaRefs>
    <ds:schemaRef ds:uri="urn:fdsformulacach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vt:lpstr>
      <vt:lpstr>Summary</vt:lpstr>
      <vt:lpstr>Model</vt:lpstr>
      <vt:lpstr>Valuation</vt:lpstr>
      <vt:lpstr>Inputs</vt:lpstr>
      <vt:lpstr>Interim - WIP</vt:lpstr>
      <vt:lpstr>Anna</vt:lpstr>
      <vt:lpstr>Initiation charts</vt:lpstr>
      <vt:lpstr>Business structure</vt:lpstr>
      <vt:lpstr>Questions</vt:lpstr>
      <vt:lpstr>Uklon</vt:lpstr>
      <vt:lpstr>Workings</vt:lpstr>
      <vt:lpstr>Spectrum</vt:lpstr>
      <vt:lpstr>Price plans</vt:lpstr>
      <vt:lpstr>Towers</vt:lpstr>
      <vt:lpstr>Comps</vt:lpstr>
      <vt:lpstr>FX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Oh</dc:creator>
  <cp:lastModifiedBy>David-Mickael Lopes</cp:lastModifiedBy>
  <cp:lastPrinted>2025-07-16T03:00:51Z</cp:lastPrinted>
  <dcterms:created xsi:type="dcterms:W3CDTF">2025-06-27T01:38:26Z</dcterms:created>
  <dcterms:modified xsi:type="dcterms:W3CDTF">2025-10-30T08:17:52Z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MediaServiceImageTags">
    <vt:lpwstr/>
  </property>
  <property fmtid="{D5CDD505-2E9C-101B-9397-08002B2CF9AE}" pid="4" name="=fdsSearchOrder">
    <vt:i4>0</vt:i4>
  </property>
</Properties>
</file>